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11)\"/>
    </mc:Choice>
  </mc:AlternateContent>
  <xr:revisionPtr revIDLastSave="0" documentId="13_ncr:1_{6583C3E0-D252-4402-96F1-734C5A1088E9}" xr6:coauthVersionLast="47" xr6:coauthVersionMax="47" xr10:uidLastSave="{00000000-0000-0000-0000-000000000000}"/>
  <bookViews>
    <workbookView xWindow="-120" yWindow="-120" windowWidth="20730" windowHeight="11160" firstSheet="7" activeTab="7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K33" i="5" s="1"/>
  <c r="H25" i="4"/>
  <c r="J25" i="4" s="1"/>
  <c r="H12" i="4"/>
  <c r="J12" i="4" s="1"/>
  <c r="H11" i="4"/>
  <c r="J11" i="4" s="1"/>
  <c r="H9" i="1"/>
  <c r="I11" i="5" l="1"/>
  <c r="K11" i="5" s="1"/>
  <c r="H18" i="4"/>
  <c r="J18" i="4" s="1"/>
  <c r="K39" i="5"/>
  <c r="F14" i="3"/>
  <c r="F18" i="3"/>
  <c r="H21" i="5" l="1"/>
  <c r="H22" i="5" s="1"/>
  <c r="L32" i="8"/>
  <c r="K32" i="8"/>
  <c r="J32" i="8"/>
  <c r="I32" i="8"/>
  <c r="H32" i="8"/>
  <c r="G32" i="8"/>
  <c r="F23" i="6"/>
  <c r="F22" i="6"/>
  <c r="F19" i="6"/>
  <c r="F18" i="6"/>
  <c r="I40" i="5"/>
  <c r="K40" i="5" s="1"/>
  <c r="I38" i="5"/>
  <c r="K38" i="5" s="1"/>
  <c r="I36" i="5"/>
  <c r="K36" i="5" s="1"/>
  <c r="I35" i="5"/>
  <c r="K35" i="5" s="1"/>
  <c r="I34" i="5"/>
  <c r="I30" i="5"/>
  <c r="K30" i="5" s="1"/>
  <c r="I29" i="5"/>
  <c r="K29" i="5" s="1"/>
  <c r="I20" i="5"/>
  <c r="K20" i="5" s="1"/>
  <c r="I17" i="5"/>
  <c r="K17" i="5" s="1"/>
  <c r="I16" i="5"/>
  <c r="K16" i="5" s="1"/>
  <c r="I15" i="5"/>
  <c r="K15" i="5" s="1"/>
  <c r="I14" i="5"/>
  <c r="K14" i="5" s="1"/>
  <c r="I41" i="5" l="1"/>
  <c r="K34" i="5"/>
  <c r="H23" i="5"/>
  <c r="I22" i="5"/>
  <c r="K22" i="5" s="1"/>
  <c r="I21" i="5"/>
  <c r="K21" i="5" s="1"/>
  <c r="K41" i="5"/>
  <c r="H10" i="6"/>
  <c r="I10" i="6" s="1"/>
  <c r="F24" i="7" l="1"/>
  <c r="G24" i="7" s="1"/>
  <c r="H24" i="5"/>
  <c r="I23" i="5"/>
  <c r="K23" i="5" s="1"/>
  <c r="I22" i="8" l="1"/>
  <c r="H24" i="7"/>
  <c r="J22" i="8" s="1"/>
  <c r="H22" i="8"/>
  <c r="H25" i="5"/>
  <c r="I24" i="5"/>
  <c r="K24" i="5" s="1"/>
  <c r="I24" i="7"/>
  <c r="H26" i="5" l="1"/>
  <c r="I25" i="5"/>
  <c r="K25" i="5" s="1"/>
  <c r="J24" i="7"/>
  <c r="L22" i="8" s="1"/>
  <c r="K22" i="8"/>
  <c r="H27" i="5" l="1"/>
  <c r="I27" i="5" s="1"/>
  <c r="K27" i="5" s="1"/>
  <c r="I26" i="5"/>
  <c r="K26" i="5" s="1"/>
  <c r="I13" i="5"/>
  <c r="I18" i="5" l="1"/>
  <c r="K13" i="5"/>
  <c r="K18" i="5" s="1"/>
  <c r="K28" i="5"/>
  <c r="K31" i="5" s="1"/>
  <c r="I28" i="5"/>
  <c r="H8" i="6"/>
  <c r="I8" i="6" s="1"/>
  <c r="H26" i="4"/>
  <c r="H23" i="4"/>
  <c r="J23" i="4" s="1"/>
  <c r="H22" i="4"/>
  <c r="J22" i="4" s="1"/>
  <c r="H21" i="4"/>
  <c r="J21" i="4" s="1"/>
  <c r="H20" i="4"/>
  <c r="J20" i="4" s="1"/>
  <c r="H19" i="4"/>
  <c r="H15" i="4"/>
  <c r="J15" i="4" s="1"/>
  <c r="J16" i="4" s="1"/>
  <c r="H10" i="4"/>
  <c r="G15" i="2"/>
  <c r="M9" i="1"/>
  <c r="Q9" i="1" s="1"/>
  <c r="Q11" i="1" s="1"/>
  <c r="F21" i="7" s="1"/>
  <c r="J26" i="4" l="1"/>
  <c r="J10" i="4"/>
  <c r="J13" i="4" s="1"/>
  <c r="H13" i="4"/>
  <c r="F23" i="7"/>
  <c r="H16" i="4"/>
  <c r="H9" i="6"/>
  <c r="I9" i="6" s="1"/>
  <c r="I11" i="6" s="1"/>
  <c r="H19" i="6" s="1"/>
  <c r="I19" i="6" s="1"/>
  <c r="I31" i="5"/>
  <c r="I42" i="5" s="1"/>
  <c r="K42" i="5"/>
  <c r="J19" i="4"/>
  <c r="J24" i="4" s="1"/>
  <c r="H24" i="4"/>
  <c r="G21" i="7"/>
  <c r="H9" i="8"/>
  <c r="H17" i="8" s="1"/>
  <c r="H27" i="4" l="1"/>
  <c r="J27" i="4"/>
  <c r="F25" i="7" s="1"/>
  <c r="G25" i="7" s="1"/>
  <c r="H25" i="7" s="1"/>
  <c r="I25" i="7" s="1"/>
  <c r="J25" i="7" s="1"/>
  <c r="G23" i="7"/>
  <c r="H23" i="7" s="1"/>
  <c r="H21" i="8"/>
  <c r="H28" i="8" s="1"/>
  <c r="H18" i="6"/>
  <c r="I18" i="6" s="1"/>
  <c r="F8" i="7" s="1"/>
  <c r="H13" i="6"/>
  <c r="G15" i="8"/>
  <c r="G14" i="8"/>
  <c r="H18" i="8"/>
  <c r="H21" i="7"/>
  <c r="I9" i="8"/>
  <c r="I17" i="8" s="1"/>
  <c r="H31" i="8" l="1"/>
  <c r="I20" i="6"/>
  <c r="I21" i="8"/>
  <c r="I28" i="8" s="1"/>
  <c r="G20" i="8"/>
  <c r="G27" i="8" s="1"/>
  <c r="G28" i="8" s="1"/>
  <c r="G31" i="8" s="1"/>
  <c r="G33" i="8" s="1"/>
  <c r="G34" i="8" s="1"/>
  <c r="H23" i="6"/>
  <c r="I23" i="6" s="1"/>
  <c r="I13" i="6"/>
  <c r="I14" i="6" s="1"/>
  <c r="I15" i="6" s="1"/>
  <c r="H22" i="6"/>
  <c r="I22" i="6" s="1"/>
  <c r="I24" i="6" s="1"/>
  <c r="F10" i="7"/>
  <c r="G12" i="8"/>
  <c r="F9" i="7"/>
  <c r="G9" i="7" s="1"/>
  <c r="H9" i="7" s="1"/>
  <c r="I9" i="7" s="1"/>
  <c r="J9" i="7" s="1"/>
  <c r="I23" i="7"/>
  <c r="J21" i="8"/>
  <c r="J28" i="8" s="1"/>
  <c r="I18" i="8"/>
  <c r="H33" i="8"/>
  <c r="I21" i="7"/>
  <c r="J9" i="8"/>
  <c r="J17" i="8" s="1"/>
  <c r="F11" i="7" l="1"/>
  <c r="G11" i="8" s="1"/>
  <c r="G17" i="8" s="1"/>
  <c r="G30" i="8" s="1"/>
  <c r="I31" i="8"/>
  <c r="I33" i="8" s="1"/>
  <c r="H34" i="8"/>
  <c r="J23" i="7"/>
  <c r="L21" i="8" s="1"/>
  <c r="L28" i="8" s="1"/>
  <c r="K21" i="8"/>
  <c r="K28" i="8" s="1"/>
  <c r="G8" i="7"/>
  <c r="F13" i="7"/>
  <c r="F16" i="7" s="1"/>
  <c r="J18" i="8"/>
  <c r="J31" i="8" s="1"/>
  <c r="J33" i="8" s="1"/>
  <c r="J21" i="7"/>
  <c r="K9" i="8"/>
  <c r="K17" i="8" s="1"/>
  <c r="F12" i="7" l="1"/>
  <c r="I34" i="8"/>
  <c r="J34" i="8" s="1"/>
  <c r="G10" i="7"/>
  <c r="H8" i="7"/>
  <c r="F26" i="7"/>
  <c r="F27" i="7" s="1"/>
  <c r="F28" i="7" s="1"/>
  <c r="F29" i="7" s="1"/>
  <c r="H24" i="8"/>
  <c r="G12" i="7"/>
  <c r="F15" i="7"/>
  <c r="H23" i="8" s="1"/>
  <c r="H27" i="8" s="1"/>
  <c r="H30" i="8" s="1"/>
  <c r="G11" i="7"/>
  <c r="L9" i="8"/>
  <c r="L17" i="8" s="1"/>
  <c r="K18" i="8"/>
  <c r="K31" i="8" s="1"/>
  <c r="F30" i="7" l="1"/>
  <c r="F31" i="7" s="1"/>
  <c r="H10" i="7"/>
  <c r="I8" i="7"/>
  <c r="H11" i="7"/>
  <c r="G13" i="7"/>
  <c r="G16" i="7" s="1"/>
  <c r="H12" i="7"/>
  <c r="G15" i="7"/>
  <c r="I23" i="8" s="1"/>
  <c r="K33" i="8"/>
  <c r="K34" i="8" s="1"/>
  <c r="L18" i="8"/>
  <c r="L31" i="8" s="1"/>
  <c r="L33" i="8" s="1"/>
  <c r="L34" i="8" l="1"/>
  <c r="G37" i="8" s="1"/>
  <c r="J8" i="7"/>
  <c r="J10" i="7" s="1"/>
  <c r="I10" i="7"/>
  <c r="I24" i="8"/>
  <c r="I27" i="8" s="1"/>
  <c r="G26" i="7"/>
  <c r="G27" i="7" s="1"/>
  <c r="G28" i="7" s="1"/>
  <c r="I12" i="7"/>
  <c r="H15" i="7"/>
  <c r="J23" i="8" s="1"/>
  <c r="I11" i="7"/>
  <c r="H13" i="7"/>
  <c r="H16" i="7" s="1"/>
  <c r="G38" i="8"/>
  <c r="G29" i="7" l="1"/>
  <c r="G30" i="7" s="1"/>
  <c r="G31" i="7" s="1"/>
  <c r="I30" i="8"/>
  <c r="J11" i="7"/>
  <c r="J13" i="7" s="1"/>
  <c r="J16" i="7" s="1"/>
  <c r="I13" i="7"/>
  <c r="I16" i="7" s="1"/>
  <c r="J12" i="7"/>
  <c r="J15" i="7" s="1"/>
  <c r="L23" i="8" s="1"/>
  <c r="I15" i="7"/>
  <c r="K23" i="8" s="1"/>
  <c r="H26" i="7"/>
  <c r="H27" i="7" s="1"/>
  <c r="H28" i="7" s="1"/>
  <c r="J24" i="8"/>
  <c r="J27" i="8" s="1"/>
  <c r="H29" i="7" l="1"/>
  <c r="H30" i="7" s="1"/>
  <c r="H31" i="7" s="1"/>
  <c r="J30" i="8"/>
  <c r="K24" i="8"/>
  <c r="K27" i="8" s="1"/>
  <c r="I26" i="7"/>
  <c r="I27" i="7" s="1"/>
  <c r="I28" i="7" s="1"/>
  <c r="J26" i="7"/>
  <c r="J27" i="7" s="1"/>
  <c r="J28" i="7" s="1"/>
  <c r="L24" i="8"/>
  <c r="L27" i="8" s="1"/>
  <c r="L30" i="8" s="1"/>
  <c r="J29" i="7" l="1"/>
  <c r="J30" i="7" s="1"/>
  <c r="J31" i="7" s="1"/>
  <c r="I29" i="7"/>
  <c r="I30" i="7" s="1"/>
  <c r="I31" i="7" s="1"/>
  <c r="K30" i="8"/>
  <c r="G39" i="8"/>
</calcChain>
</file>

<file path=xl/sharedStrings.xml><?xml version="1.0" encoding="utf-8"?>
<sst xmlns="http://schemas.openxmlformats.org/spreadsheetml/2006/main" count="578" uniqueCount="232">
  <si>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</si>
  <si>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</si>
  <si>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</si>
  <si>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</si>
  <si>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</si>
  <si>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</si>
  <si>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</si>
  <si>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</si>
  <si>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</si>
  <si>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</si>
  <si>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</si>
  <si>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</si>
  <si>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</si>
  <si>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</si>
  <si>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</si>
  <si>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Lamanya</t>
  </si>
  <si>
    <t>TABEL PROSES PRODUKSI</t>
  </si>
  <si>
    <t>Proses (Tahapan) Produksi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</si>
  <si>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</si>
  <si>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</si>
  <si>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</si>
  <si>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</si>
  <si>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</si>
  <si>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</si>
  <si>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</si>
  <si>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</si>
  <si>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</si>
  <si>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</si>
  <si>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</si>
  <si>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</si>
  <si>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</si>
  <si>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</si>
  <si>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</si>
  <si>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</si>
  <si>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</si>
  <si>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</si>
  <si>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</si>
  <si>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</si>
  <si>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</si>
  <si>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</si>
  <si>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</si>
  <si>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</si>
  <si>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</si>
  <si>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</si>
  <si>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</si>
  <si>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</si>
  <si>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</si>
  <si>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</si>
  <si>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</si>
  <si>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</si>
  <si>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</si>
  <si>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</si>
  <si>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</si>
  <si>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</si>
  <si>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</si>
  <si>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</si>
  <si>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</si>
  <si>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</si>
  <si>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</si>
  <si>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</si>
  <si>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</si>
  <si>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</si>
  <si>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</si>
  <si>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</si>
  <si>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</si>
  <si>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</si>
  <si>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</si>
  <si>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</si>
  <si>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</si>
  <si>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</si>
  <si>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</si>
  <si>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</si>
  <si>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</si>
  <si>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</si>
  <si>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</si>
  <si>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</si>
  <si>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</si>
  <si>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</si>
  <si>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</si>
  <si>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</si>
  <si>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</si>
  <si>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</si>
  <si>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</si>
  <si>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</si>
  <si>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</si>
  <si>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</si>
  <si>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</si>
  <si>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</si>
  <si>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</si>
  <si>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</si>
  <si>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</si>
  <si>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</si>
  <si>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</si>
  <si>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</si>
  <si>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</si>
  <si>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</si>
  <si>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</si>
  <si>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</si>
  <si>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</si>
  <si>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</si>
  <si>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</si>
  <si>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</si>
  <si>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</si>
  <si>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</si>
  <si>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</si>
  <si>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</si>
  <si>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</si>
  <si>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</si>
  <si>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</si>
  <si>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</si>
  <si>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</si>
  <si>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</si>
  <si>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</si>
  <si>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</si>
  <si>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</si>
  <si>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</si>
  <si>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</si>
  <si>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</si>
  <si>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</si>
  <si>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</si>
  <si>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</si>
  <si>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</si>
  <si>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</si>
  <si>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</si>
  <si>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</si>
  <si>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</si>
  <si>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</si>
  <si>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</si>
  <si>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</si>
  <si>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</si>
  <si>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</si>
  <si>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</si>
  <si>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</si>
  <si>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</si>
  <si>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</si>
  <si>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</si>
  <si>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</si>
  <si>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</si>
  <si>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</si>
  <si>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</si>
  <si>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</si>
  <si>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</si>
  <si>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</si>
  <si>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</si>
  <si>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</si>
  <si>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</si>
  <si>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</si>
  <si>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</si>
  <si>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</si>
  <si>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</si>
  <si>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</si>
  <si>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</si>
  <si>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</si>
  <si>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</si>
  <si>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</si>
  <si>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</si>
  <si>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</si>
  <si>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</si>
  <si>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</si>
  <si>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</si>
  <si>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</si>
  <si>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</si>
  <si>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</si>
  <si>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</si>
  <si>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</si>
  <si>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</si>
  <si>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</si>
  <si>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</si>
  <si>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</si>
  <si>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</si>
  <si>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</si>
  <si>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</si>
  <si>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</si>
  <si>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</si>
  <si>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</si>
  <si>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</si>
  <si>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</si>
  <si>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</si>
  <si>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</si>
  <si>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</si>
  <si>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</si>
  <si>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</si>
  <si>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</si>
  <si>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</si>
  <si>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Pupuk urea</t>
  </si>
  <si>
    <t>Pupuk kandang</t>
  </si>
  <si>
    <t>Tricoderma</t>
  </si>
  <si>
    <t>Bahan-bahan :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</si>
  <si>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</si>
  <si>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</si>
  <si>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</si>
  <si>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</si>
  <si>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</si>
  <si>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</si>
  <si>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</si>
  <si>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</si>
  <si>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</si>
  <si>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</si>
  <si>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</si>
  <si>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</si>
  <si>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</si>
  <si>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</si>
  <si>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</si>
  <si>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</si>
  <si>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</si>
  <si>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KELAYAKAN USAHA</t>
  </si>
  <si>
    <t>Pertanian Tanaman Pangan</t>
  </si>
  <si>
    <t>Gabah Kering Panen (GKP)</t>
  </si>
  <si>
    <t>Note : Susut 8 %</t>
  </si>
  <si>
    <t>Rata-rata penjualan/Siklus Produksi (4 bln)</t>
  </si>
  <si>
    <t>Penyemaian</t>
  </si>
  <si>
    <t>Pencabutan bibit dan penanaman</t>
  </si>
  <si>
    <t>Penyiangan dan pemupukan ke 1</t>
  </si>
  <si>
    <t>Penyiangan dan pemupukan ke 2</t>
  </si>
  <si>
    <t>Penyemprotan obat-obatan</t>
  </si>
  <si>
    <t>Panen dan pasca panen</t>
  </si>
  <si>
    <t>Pengeringan</t>
  </si>
  <si>
    <t>Pengolahan lahan</t>
  </si>
  <si>
    <t>-  Alat panen</t>
  </si>
  <si>
    <t>Peket</t>
  </si>
  <si>
    <t>Benih</t>
  </si>
  <si>
    <t>Pupuk NPK Poska</t>
  </si>
  <si>
    <t>- Traktor tangan</t>
  </si>
  <si>
    <t>Rp/Ha/Thn</t>
  </si>
  <si>
    <t>SKALA USAHA</t>
  </si>
  <si>
    <t>1.050 HA</t>
  </si>
  <si>
    <t xml:space="preserve">Food Estate padi </t>
  </si>
  <si>
    <t xml:space="preserve">Gaji manajer </t>
  </si>
  <si>
    <t>Pajak (10%)</t>
  </si>
  <si>
    <t xml:space="preserve">Pay Back Period/PBP </t>
  </si>
  <si>
    <t>Tahun ke 3</t>
  </si>
  <si>
    <t xml:space="preserve">Note : HOK = Hari Orang Kerja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</si>
</sst>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vertical="center"/>
    </xf>
    <xf numFmtId="41" fontId="8" fillId="0" borderId="9" xfId="1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41" fontId="8" fillId="0" borderId="20" xfId="1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1" fontId="0" fillId="0" borderId="1" xfId="1" applyFont="1" applyBorder="1" applyAlignment="1">
      <alignment horizontal="right"/>
    </xf>
    <xf numFmtId="41" fontId="0" fillId="0" borderId="1" xfId="1" applyFont="1" applyBorder="1" applyAlignment="1">
      <alignment horizontal="center"/>
    </xf>
    <xf numFmtId="41" fontId="0" fillId="0" borderId="11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"/>
  <sheetViews>
    <sheetView workbookViewId="0">
      <selection activeCell="S8" sqref="S8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140625" customWidth="1"/>
    <col min="12" max="12" width="9.140625" hidden="1" customWidth="1"/>
    <col min="13" max="13" width="16.7109375" customWidth="1"/>
    <col min="14" max="14" width="9.140625" hidden="1" customWidth="1"/>
    <col min="15" max="15" width="15" customWidth="1"/>
    <col min="16" max="16" width="14.28515625" customWidth="1"/>
    <col min="17" max="17" width="15.140625" customWidth="1"/>
  </cols>
  <sheetData>
    <row r="1" spans="2:28" x14ac:dyDescent="0.25">
      <c r="B1" s="4" t="s">
        <v>0</v>
      </c>
      <c r="C1" s="4"/>
      <c r="D1" s="3" t="s">
        <v>13</v>
      </c>
    </row>
    <row r="2" spans="2:28" x14ac:dyDescent="0.25">
      <c r="B2" t="s">
        <v>1</v>
      </c>
      <c r="D2" s="76" t="s">
        <v>12</v>
      </c>
      <c r="H2" t="s">
        <v>206</v>
      </c>
    </row>
    <row r="3" spans="2:28" x14ac:dyDescent="0.25">
      <c r="B3" t="s">
        <v>2</v>
      </c>
      <c r="D3" s="76" t="s">
        <v>12</v>
      </c>
      <c r="H3" t="s">
        <v>226</v>
      </c>
    </row>
    <row r="4" spans="2:28" x14ac:dyDescent="0.25">
      <c r="B4" t="s">
        <v>224</v>
      </c>
      <c r="D4" s="76" t="s">
        <v>12</v>
      </c>
      <c r="H4" t="s">
        <v>225</v>
      </c>
    </row>
    <row r="6" spans="2:28" x14ac:dyDescent="0.25">
      <c r="B6" s="167" t="s">
        <v>209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4" t="s">
        <v>3</v>
      </c>
      <c r="N6" s="166"/>
      <c r="O6" s="166"/>
      <c r="P6" s="166"/>
      <c r="Q6" s="165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x14ac:dyDescent="0.25">
      <c r="B7" s="2" t="s">
        <v>4</v>
      </c>
      <c r="C7" s="167" t="s">
        <v>5</v>
      </c>
      <c r="D7" s="167"/>
      <c r="E7" s="167"/>
      <c r="F7" s="167"/>
      <c r="G7" s="167"/>
      <c r="H7" s="142" t="s">
        <v>6</v>
      </c>
      <c r="I7" s="168" t="s">
        <v>7</v>
      </c>
      <c r="J7" s="168"/>
      <c r="K7" s="169" t="s">
        <v>8</v>
      </c>
      <c r="L7" s="170"/>
      <c r="M7" s="144" t="s">
        <v>161</v>
      </c>
      <c r="N7" s="154"/>
      <c r="O7" s="142" t="s">
        <v>9</v>
      </c>
      <c r="P7" s="143" t="s">
        <v>14</v>
      </c>
      <c r="Q7" s="142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5">
      <c r="B8" s="2"/>
      <c r="C8" s="132"/>
      <c r="D8" s="133"/>
      <c r="E8" s="133"/>
      <c r="F8" s="133"/>
      <c r="G8" s="133"/>
      <c r="H8" s="129"/>
      <c r="I8" s="111"/>
      <c r="J8" s="112"/>
      <c r="K8" s="129"/>
      <c r="L8" s="130"/>
      <c r="M8" s="129"/>
      <c r="N8" s="134"/>
      <c r="O8" s="135"/>
      <c r="P8" s="134"/>
      <c r="Q8" s="135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5">
      <c r="B9" s="2" t="s">
        <v>23</v>
      </c>
      <c r="C9" s="138" t="s">
        <v>207</v>
      </c>
      <c r="D9" s="139"/>
      <c r="E9" s="139"/>
      <c r="F9" s="139"/>
      <c r="G9" s="139"/>
      <c r="H9" s="136">
        <f>1050*6000*0.82</f>
        <v>5166000</v>
      </c>
      <c r="I9" s="162" t="s">
        <v>160</v>
      </c>
      <c r="J9" s="163"/>
      <c r="K9" s="136">
        <v>5000</v>
      </c>
      <c r="L9" s="120"/>
      <c r="M9" s="137">
        <f>+K9*H9</f>
        <v>25830000000</v>
      </c>
      <c r="N9" s="110"/>
      <c r="O9" s="92">
        <v>3</v>
      </c>
      <c r="P9" s="131" t="s">
        <v>163</v>
      </c>
      <c r="Q9" s="141">
        <f>+M9*O9</f>
        <v>77490000000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x14ac:dyDescent="0.25">
      <c r="B10" s="2"/>
      <c r="C10" s="138"/>
      <c r="D10" s="139"/>
      <c r="E10" s="139"/>
      <c r="F10" s="139"/>
      <c r="G10" s="139"/>
      <c r="H10" s="140"/>
      <c r="I10" s="162"/>
      <c r="J10" s="163"/>
      <c r="K10" s="164"/>
      <c r="L10" s="165"/>
      <c r="M10" s="164"/>
      <c r="N10" s="166"/>
      <c r="O10" s="135"/>
      <c r="P10" s="134"/>
      <c r="Q10" s="11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5">
      <c r="B11" s="138" t="s">
        <v>11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3"/>
      <c r="Q11" s="141">
        <f>+Q9</f>
        <v>77490000000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x14ac:dyDescent="0.25">
      <c r="B12" s="158" t="s">
        <v>208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13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</sheetData>
  <mergeCells count="9">
    <mergeCell ref="I9:J9"/>
    <mergeCell ref="I10:J10"/>
    <mergeCell ref="K10:L10"/>
    <mergeCell ref="M10:N10"/>
    <mergeCell ref="B6:L6"/>
    <mergeCell ref="C7:G7"/>
    <mergeCell ref="I7:J7"/>
    <mergeCell ref="K7:L7"/>
    <mergeCell ref="M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topLeftCell="A4" workbookViewId="0">
      <selection activeCell="B1" sqref="B1"/>
    </sheetView>
  </sheetViews>
  <sheetFormatPr defaultRowHeight="15" x14ac:dyDescent="0.25"/>
  <cols>
    <col min="2" max="2" width="5.5703125" customWidth="1"/>
    <col min="3" max="3" width="30.710937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4" t="s">
        <v>16</v>
      </c>
      <c r="C1" s="4"/>
      <c r="D1" s="99" t="s">
        <v>13</v>
      </c>
      <c r="E1" s="1"/>
      <c r="F1" s="1"/>
      <c r="G1" s="1"/>
      <c r="H1" s="1"/>
    </row>
    <row r="2" spans="2:18" x14ac:dyDescent="0.25">
      <c r="B2" s="1" t="s">
        <v>1</v>
      </c>
      <c r="C2" s="1"/>
      <c r="D2" s="100" t="s">
        <v>12</v>
      </c>
      <c r="G2" t="s">
        <v>206</v>
      </c>
      <c r="I2" s="1"/>
      <c r="J2" s="1"/>
      <c r="Q2" s="1"/>
      <c r="R2" s="1"/>
    </row>
    <row r="3" spans="2:18" x14ac:dyDescent="0.25">
      <c r="B3" s="1" t="s">
        <v>2</v>
      </c>
      <c r="C3" s="1"/>
      <c r="D3" s="100" t="s">
        <v>12</v>
      </c>
      <c r="G3" t="s">
        <v>226</v>
      </c>
      <c r="I3" s="1"/>
      <c r="J3" s="1"/>
      <c r="Q3" s="1"/>
      <c r="R3" s="1"/>
    </row>
    <row r="4" spans="2:18" x14ac:dyDescent="0.25">
      <c r="B4" t="s">
        <v>224</v>
      </c>
      <c r="D4" s="76" t="s">
        <v>12</v>
      </c>
      <c r="G4" t="s">
        <v>225</v>
      </c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1" t="s">
        <v>4</v>
      </c>
      <c r="C6" s="145" t="s">
        <v>17</v>
      </c>
      <c r="D6" s="146"/>
      <c r="F6" s="146"/>
      <c r="G6" s="102" t="s">
        <v>15</v>
      </c>
      <c r="H6" s="103" t="s">
        <v>7</v>
      </c>
    </row>
    <row r="7" spans="2:18" x14ac:dyDescent="0.25">
      <c r="B7" s="90" t="s">
        <v>23</v>
      </c>
      <c r="C7" s="81" t="s">
        <v>217</v>
      </c>
      <c r="D7" s="82"/>
      <c r="F7" s="82"/>
      <c r="G7" s="155">
        <v>15750</v>
      </c>
      <c r="H7" s="147" t="s">
        <v>84</v>
      </c>
    </row>
    <row r="8" spans="2:18" x14ac:dyDescent="0.25">
      <c r="B8" s="91" t="s">
        <v>26</v>
      </c>
      <c r="C8" s="83" t="s">
        <v>210</v>
      </c>
      <c r="D8" s="84"/>
      <c r="F8" s="84"/>
      <c r="G8" s="136">
        <v>2100</v>
      </c>
      <c r="H8" s="142" t="s">
        <v>84</v>
      </c>
    </row>
    <row r="9" spans="2:18" x14ac:dyDescent="0.25">
      <c r="B9" s="93" t="s">
        <v>28</v>
      </c>
      <c r="C9" s="85" t="s">
        <v>211</v>
      </c>
      <c r="D9" s="86"/>
      <c r="F9" s="86"/>
      <c r="G9" s="155">
        <v>21000</v>
      </c>
      <c r="H9" s="147" t="s">
        <v>84</v>
      </c>
    </row>
    <row r="10" spans="2:18" x14ac:dyDescent="0.25">
      <c r="B10" s="91" t="s">
        <v>32</v>
      </c>
      <c r="C10" s="83" t="s">
        <v>212</v>
      </c>
      <c r="D10" s="84"/>
      <c r="F10" s="84"/>
      <c r="G10" s="136">
        <v>6300</v>
      </c>
      <c r="H10" s="142" t="s">
        <v>84</v>
      </c>
    </row>
    <row r="11" spans="2:18" x14ac:dyDescent="0.25">
      <c r="B11" s="90" t="s">
        <v>33</v>
      </c>
      <c r="C11" s="83" t="s">
        <v>213</v>
      </c>
      <c r="D11" s="86"/>
      <c r="F11" s="86"/>
      <c r="G11" s="155">
        <v>6300</v>
      </c>
      <c r="H11" s="147" t="s">
        <v>84</v>
      </c>
    </row>
    <row r="12" spans="2:18" x14ac:dyDescent="0.25">
      <c r="B12" s="94" t="s">
        <v>35</v>
      </c>
      <c r="C12" s="83" t="s">
        <v>214</v>
      </c>
      <c r="D12" s="84"/>
      <c r="F12" s="84"/>
      <c r="G12" s="136">
        <v>4200</v>
      </c>
      <c r="H12" s="142" t="s">
        <v>84</v>
      </c>
    </row>
    <row r="13" spans="2:18" x14ac:dyDescent="0.25">
      <c r="B13" s="93" t="s">
        <v>37</v>
      </c>
      <c r="C13" s="85" t="s">
        <v>215</v>
      </c>
      <c r="D13" s="86"/>
      <c r="F13" s="86"/>
      <c r="G13" s="155">
        <v>12600</v>
      </c>
      <c r="H13" s="147" t="s">
        <v>84</v>
      </c>
    </row>
    <row r="14" spans="2:18" x14ac:dyDescent="0.25">
      <c r="B14" s="95" t="s">
        <v>39</v>
      </c>
      <c r="C14" s="87" t="s">
        <v>216</v>
      </c>
      <c r="D14" s="88"/>
      <c r="F14" s="88"/>
      <c r="G14" s="156">
        <v>6300</v>
      </c>
      <c r="H14" s="148" t="s">
        <v>84</v>
      </c>
    </row>
    <row r="15" spans="2:18" x14ac:dyDescent="0.25">
      <c r="B15" s="96"/>
      <c r="C15" s="97" t="s">
        <v>11</v>
      </c>
      <c r="D15" s="89"/>
      <c r="F15" s="89"/>
      <c r="G15" s="157">
        <f>SUM(G7:G14)</f>
        <v>74550</v>
      </c>
      <c r="H15" s="149" t="s">
        <v>84</v>
      </c>
    </row>
    <row r="16" spans="2:18" x14ac:dyDescent="0.25">
      <c r="B16" t="s">
        <v>162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9"/>
  <sheetViews>
    <sheetView topLeftCell="D16" workbookViewId="0">
      <selection activeCell="B1" sqref="B1:B2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1" spans="2:7" ht="15.75" x14ac:dyDescent="0.25">
      <c r="B1" s="6" t="s">
        <v>18</v>
      </c>
      <c r="C1" s="6"/>
      <c r="D1" s="6"/>
      <c r="E1" s="7" t="s">
        <v>13</v>
      </c>
    </row>
    <row r="2" spans="2:7" ht="15.75" x14ac:dyDescent="0.25">
      <c r="B2" s="5" t="s">
        <v>1</v>
      </c>
      <c r="C2" s="5"/>
      <c r="D2" s="5"/>
      <c r="E2" s="67" t="s">
        <v>12</v>
      </c>
      <c r="F2" t="s">
        <v>206</v>
      </c>
    </row>
    <row r="3" spans="2:7" ht="15.75" x14ac:dyDescent="0.25">
      <c r="B3" s="5" t="s">
        <v>2</v>
      </c>
      <c r="C3" s="5"/>
      <c r="D3" s="5"/>
      <c r="E3" s="67" t="s">
        <v>12</v>
      </c>
      <c r="F3" t="s">
        <v>226</v>
      </c>
    </row>
    <row r="4" spans="2:7" ht="15.75" x14ac:dyDescent="0.25">
      <c r="B4" t="s">
        <v>224</v>
      </c>
      <c r="C4" s="5"/>
      <c r="D4" s="5"/>
      <c r="E4" s="67" t="s">
        <v>12</v>
      </c>
      <c r="F4" t="s">
        <v>225</v>
      </c>
    </row>
    <row r="6" spans="2:7" ht="15.75" x14ac:dyDescent="0.25">
      <c r="B6" s="29" t="s">
        <v>19</v>
      </c>
      <c r="C6" s="150" t="s">
        <v>20</v>
      </c>
      <c r="D6" s="151"/>
      <c r="E6" s="151"/>
      <c r="F6" s="32" t="s">
        <v>21</v>
      </c>
      <c r="G6" s="32" t="s">
        <v>22</v>
      </c>
    </row>
    <row r="7" spans="2:7" x14ac:dyDescent="0.25">
      <c r="B7" s="12" t="s">
        <v>23</v>
      </c>
      <c r="C7" s="15" t="s">
        <v>24</v>
      </c>
      <c r="D7" s="16"/>
      <c r="E7" s="16"/>
      <c r="F7" s="12">
        <v>5</v>
      </c>
      <c r="G7" s="27" t="s">
        <v>25</v>
      </c>
    </row>
    <row r="8" spans="2:7" x14ac:dyDescent="0.25">
      <c r="B8" s="28" t="s">
        <v>26</v>
      </c>
      <c r="C8" s="24" t="s">
        <v>29</v>
      </c>
      <c r="D8" s="25"/>
      <c r="E8" s="25"/>
      <c r="F8" s="21">
        <v>12</v>
      </c>
      <c r="G8" s="11" t="s">
        <v>27</v>
      </c>
    </row>
    <row r="9" spans="2:7" x14ac:dyDescent="0.25">
      <c r="B9" s="22" t="s">
        <v>28</v>
      </c>
      <c r="C9" s="18" t="s">
        <v>30</v>
      </c>
      <c r="D9" s="19"/>
      <c r="E9" s="19"/>
      <c r="F9" s="13">
        <v>30</v>
      </c>
      <c r="G9" s="23" t="s">
        <v>31</v>
      </c>
    </row>
    <row r="10" spans="2:7" x14ac:dyDescent="0.25">
      <c r="B10" s="28" t="s">
        <v>32</v>
      </c>
      <c r="C10" s="24" t="s">
        <v>165</v>
      </c>
      <c r="D10" s="25"/>
      <c r="E10" s="25"/>
      <c r="F10" s="69">
        <v>4</v>
      </c>
      <c r="G10" s="11" t="s">
        <v>27</v>
      </c>
    </row>
    <row r="11" spans="2:7" x14ac:dyDescent="0.25">
      <c r="B11" s="28" t="s">
        <v>33</v>
      </c>
      <c r="C11" s="24" t="s">
        <v>164</v>
      </c>
      <c r="D11" s="25"/>
      <c r="E11" s="25"/>
      <c r="F11" s="21">
        <v>3</v>
      </c>
      <c r="G11" s="11" t="s">
        <v>34</v>
      </c>
    </row>
    <row r="12" spans="2:7" x14ac:dyDescent="0.25">
      <c r="B12" s="71" t="s">
        <v>35</v>
      </c>
      <c r="C12" s="15" t="s">
        <v>166</v>
      </c>
      <c r="D12" s="16"/>
      <c r="E12" s="16"/>
      <c r="F12" s="12"/>
      <c r="G12" s="12"/>
    </row>
    <row r="13" spans="2:7" x14ac:dyDescent="0.25">
      <c r="B13" s="13"/>
      <c r="C13" s="32" t="s">
        <v>4</v>
      </c>
      <c r="D13" s="171" t="s">
        <v>36</v>
      </c>
      <c r="E13" s="172"/>
      <c r="F13" s="32" t="s">
        <v>11</v>
      </c>
      <c r="G13" s="32" t="s">
        <v>7</v>
      </c>
    </row>
    <row r="14" spans="2:7" x14ac:dyDescent="0.25">
      <c r="B14" s="13"/>
      <c r="C14" s="28" t="s">
        <v>23</v>
      </c>
      <c r="D14" s="138" t="s">
        <v>207</v>
      </c>
      <c r="E14" s="25"/>
      <c r="F14" s="70">
        <f>+'Tabel Lampiran 1'!H9</f>
        <v>5166000</v>
      </c>
      <c r="G14" s="11" t="s">
        <v>167</v>
      </c>
    </row>
    <row r="15" spans="2:7" x14ac:dyDescent="0.25">
      <c r="B15" s="14"/>
      <c r="C15" s="152" t="s">
        <v>13</v>
      </c>
      <c r="D15" s="114"/>
      <c r="E15" s="114"/>
      <c r="F15" s="80" t="s">
        <v>13</v>
      </c>
      <c r="G15" s="153" t="s">
        <v>13</v>
      </c>
    </row>
    <row r="16" spans="2:7" x14ac:dyDescent="0.25">
      <c r="B16" s="13" t="s">
        <v>37</v>
      </c>
      <c r="C16" s="18" t="s">
        <v>38</v>
      </c>
      <c r="D16" s="19"/>
      <c r="E16" s="19"/>
      <c r="F16" s="13"/>
      <c r="G16" s="13"/>
    </row>
    <row r="17" spans="2:7" x14ac:dyDescent="0.25">
      <c r="B17" s="13"/>
      <c r="C17" s="32" t="s">
        <v>4</v>
      </c>
      <c r="D17" s="172" t="s">
        <v>36</v>
      </c>
      <c r="E17" s="172"/>
      <c r="F17" s="32" t="s">
        <v>8</v>
      </c>
      <c r="G17" s="32" t="s">
        <v>7</v>
      </c>
    </row>
    <row r="18" spans="2:7" x14ac:dyDescent="0.25">
      <c r="B18" s="13"/>
      <c r="C18" s="71" t="s">
        <v>23</v>
      </c>
      <c r="D18" s="138" t="s">
        <v>207</v>
      </c>
      <c r="E18" s="16"/>
      <c r="F18" s="72">
        <f>+'Tabel Lampiran 1'!K9</f>
        <v>5000</v>
      </c>
      <c r="G18" s="23" t="s">
        <v>168</v>
      </c>
    </row>
    <row r="19" spans="2:7" x14ac:dyDescent="0.25">
      <c r="B19" s="13"/>
      <c r="C19" s="21"/>
      <c r="D19" s="25"/>
      <c r="E19" s="25"/>
      <c r="F19" s="21"/>
      <c r="G19" s="21"/>
    </row>
    <row r="20" spans="2:7" x14ac:dyDescent="0.25">
      <c r="B20" s="12" t="s">
        <v>39</v>
      </c>
      <c r="C20" s="18" t="s">
        <v>40</v>
      </c>
      <c r="D20" s="19"/>
      <c r="E20" s="19"/>
      <c r="F20" s="13"/>
      <c r="G20" s="13"/>
    </row>
    <row r="21" spans="2:7" x14ac:dyDescent="0.25">
      <c r="B21" s="13"/>
      <c r="C21" s="24" t="s">
        <v>41</v>
      </c>
      <c r="D21" s="25" t="s">
        <v>42</v>
      </c>
      <c r="E21" s="25"/>
      <c r="F21" s="21">
        <v>70</v>
      </c>
      <c r="G21" s="11" t="s">
        <v>47</v>
      </c>
    </row>
    <row r="22" spans="2:7" x14ac:dyDescent="0.25">
      <c r="B22" s="13"/>
      <c r="C22" s="18" t="s">
        <v>45</v>
      </c>
      <c r="D22" s="19" t="s">
        <v>43</v>
      </c>
      <c r="E22" s="19"/>
      <c r="F22" s="13">
        <v>80</v>
      </c>
      <c r="G22" s="11" t="s">
        <v>47</v>
      </c>
    </row>
    <row r="23" spans="2:7" x14ac:dyDescent="0.25">
      <c r="B23" s="14"/>
      <c r="C23" s="24" t="s">
        <v>46</v>
      </c>
      <c r="D23" s="25" t="s">
        <v>44</v>
      </c>
      <c r="E23" s="25"/>
      <c r="F23" s="21">
        <v>90</v>
      </c>
      <c r="G23" s="11" t="s">
        <v>47</v>
      </c>
    </row>
    <row r="24" spans="2:7" x14ac:dyDescent="0.25">
      <c r="B24" s="22" t="s">
        <v>48</v>
      </c>
      <c r="C24" s="18" t="s">
        <v>49</v>
      </c>
      <c r="D24" s="19"/>
      <c r="E24" s="19"/>
      <c r="F24" s="13">
        <v>10</v>
      </c>
      <c r="G24" s="11" t="s">
        <v>169</v>
      </c>
    </row>
    <row r="25" spans="2:7" x14ac:dyDescent="0.25">
      <c r="B25" s="28" t="s">
        <v>50</v>
      </c>
      <c r="C25" s="24" t="s">
        <v>51</v>
      </c>
      <c r="D25" s="25"/>
      <c r="E25" s="25"/>
      <c r="F25" s="21">
        <v>10</v>
      </c>
      <c r="G25" s="11" t="s">
        <v>169</v>
      </c>
    </row>
    <row r="26" spans="2:7" x14ac:dyDescent="0.25">
      <c r="B26" s="28" t="s">
        <v>52</v>
      </c>
      <c r="C26" s="24" t="s">
        <v>53</v>
      </c>
      <c r="D26" s="25"/>
      <c r="E26" s="25"/>
      <c r="F26" s="21"/>
      <c r="G26" s="11"/>
    </row>
    <row r="27" spans="2:7" x14ac:dyDescent="0.25">
      <c r="B27" s="13"/>
      <c r="C27" s="18" t="s">
        <v>41</v>
      </c>
      <c r="D27" s="19" t="s">
        <v>54</v>
      </c>
      <c r="E27" s="19"/>
      <c r="F27" s="13">
        <v>70</v>
      </c>
      <c r="G27" s="11" t="s">
        <v>47</v>
      </c>
    </row>
    <row r="28" spans="2:7" x14ac:dyDescent="0.25">
      <c r="B28" s="21"/>
      <c r="C28" s="24" t="s">
        <v>45</v>
      </c>
      <c r="D28" s="25" t="s">
        <v>55</v>
      </c>
      <c r="E28" s="25"/>
      <c r="F28" s="21">
        <v>30</v>
      </c>
      <c r="G28" s="11" t="s">
        <v>47</v>
      </c>
    </row>
    <row r="29" spans="2:7" x14ac:dyDescent="0.25">
      <c r="B29" s="22" t="s">
        <v>56</v>
      </c>
      <c r="C29" s="18" t="s">
        <v>57</v>
      </c>
      <c r="D29" s="19"/>
      <c r="E29" s="19"/>
      <c r="F29" s="13"/>
      <c r="G29" s="23"/>
    </row>
    <row r="30" spans="2:7" x14ac:dyDescent="0.25">
      <c r="B30" s="21"/>
      <c r="C30" s="24" t="s">
        <v>41</v>
      </c>
      <c r="D30" s="25" t="s">
        <v>54</v>
      </c>
      <c r="E30" s="25"/>
      <c r="F30" s="21">
        <v>70</v>
      </c>
      <c r="G30" s="11" t="s">
        <v>47</v>
      </c>
    </row>
    <row r="31" spans="2:7" x14ac:dyDescent="0.25">
      <c r="B31" s="21"/>
      <c r="C31" s="24" t="s">
        <v>45</v>
      </c>
      <c r="D31" s="25" t="s">
        <v>55</v>
      </c>
      <c r="E31" s="25"/>
      <c r="F31" s="21">
        <v>30</v>
      </c>
      <c r="G31" s="11" t="s">
        <v>47</v>
      </c>
    </row>
    <row r="32" spans="2:7" x14ac:dyDescent="0.25">
      <c r="B32" s="22" t="s">
        <v>58</v>
      </c>
      <c r="C32" s="18" t="s">
        <v>59</v>
      </c>
      <c r="D32" s="19"/>
      <c r="E32" s="19"/>
      <c r="F32" s="13">
        <v>5</v>
      </c>
      <c r="G32" s="23" t="s">
        <v>25</v>
      </c>
    </row>
    <row r="33" spans="2:7" x14ac:dyDescent="0.25">
      <c r="B33" s="28" t="s">
        <v>60</v>
      </c>
      <c r="C33" s="24" t="s">
        <v>61</v>
      </c>
      <c r="D33" s="25"/>
      <c r="E33" s="25"/>
      <c r="F33" s="21">
        <v>5</v>
      </c>
      <c r="G33" s="11" t="s">
        <v>25</v>
      </c>
    </row>
    <row r="34" spans="2:7" x14ac:dyDescent="0.25">
      <c r="B34" s="19"/>
      <c r="C34" s="19"/>
      <c r="D34" s="19"/>
      <c r="E34" s="19"/>
      <c r="F34" s="19"/>
      <c r="G34" s="19"/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</sheetData>
  <mergeCells count="2">
    <mergeCell ref="D13:E13"/>
    <mergeCell ref="D17:E1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7"/>
  <sheetViews>
    <sheetView topLeftCell="A19" workbookViewId="0">
      <selection activeCell="B1" sqref="B1:B2"/>
    </sheetView>
  </sheetViews>
  <sheetFormatPr defaultRowHeight="15" x14ac:dyDescent="0.25"/>
  <cols>
    <col min="2" max="2" width="5.140625" customWidth="1"/>
    <col min="3" max="3" width="29.28515625" customWidth="1"/>
    <col min="4" max="4" width="3" customWidth="1"/>
    <col min="5" max="5" width="10.42578125" customWidth="1"/>
    <col min="6" max="6" width="11.5703125" customWidth="1"/>
    <col min="7" max="8" width="15.140625" customWidth="1"/>
    <col min="9" max="9" width="18" customWidth="1"/>
    <col min="10" max="10" width="16.28515625" customWidth="1"/>
  </cols>
  <sheetData>
    <row r="1" spans="2:10" x14ac:dyDescent="0.25">
      <c r="B1" s="4" t="s">
        <v>62</v>
      </c>
      <c r="C1" s="4"/>
      <c r="D1" s="4"/>
      <c r="E1" s="33"/>
    </row>
    <row r="2" spans="2:10" x14ac:dyDescent="0.25">
      <c r="B2" s="1" t="s">
        <v>1</v>
      </c>
      <c r="C2" s="1"/>
      <c r="D2" s="39" t="s">
        <v>12</v>
      </c>
      <c r="E2" t="s">
        <v>206</v>
      </c>
    </row>
    <row r="3" spans="2:10" x14ac:dyDescent="0.25">
      <c r="B3" s="1" t="s">
        <v>2</v>
      </c>
      <c r="C3" s="1"/>
      <c r="D3" s="39" t="s">
        <v>12</v>
      </c>
      <c r="E3" t="s">
        <v>226</v>
      </c>
    </row>
    <row r="4" spans="2:10" x14ac:dyDescent="0.25">
      <c r="B4" t="s">
        <v>224</v>
      </c>
      <c r="C4" s="4"/>
      <c r="D4" s="39" t="s">
        <v>12</v>
      </c>
      <c r="E4" t="s">
        <v>225</v>
      </c>
    </row>
    <row r="6" spans="2:10" x14ac:dyDescent="0.25">
      <c r="B6" s="40" t="s">
        <v>19</v>
      </c>
      <c r="C6" s="173" t="s">
        <v>20</v>
      </c>
      <c r="D6" s="174"/>
      <c r="E6" s="42" t="s">
        <v>63</v>
      </c>
      <c r="F6" s="42" t="s">
        <v>22</v>
      </c>
      <c r="G6" s="42" t="s">
        <v>64</v>
      </c>
      <c r="H6" s="42" t="s">
        <v>21</v>
      </c>
      <c r="I6" s="42" t="s">
        <v>65</v>
      </c>
      <c r="J6" s="43" t="s">
        <v>105</v>
      </c>
    </row>
    <row r="7" spans="2:10" x14ac:dyDescent="0.25">
      <c r="B7" s="44"/>
      <c r="C7" s="45"/>
      <c r="D7" s="46"/>
      <c r="E7" s="44"/>
      <c r="F7" s="44"/>
      <c r="G7" s="47" t="s">
        <v>22</v>
      </c>
      <c r="H7" s="47" t="s">
        <v>107</v>
      </c>
      <c r="I7" s="48" t="s">
        <v>66</v>
      </c>
      <c r="J7" s="47" t="s">
        <v>106</v>
      </c>
    </row>
    <row r="8" spans="2:10" x14ac:dyDescent="0.25">
      <c r="B8" s="35" t="s">
        <v>23</v>
      </c>
      <c r="C8" s="24" t="s">
        <v>67</v>
      </c>
      <c r="D8" s="25"/>
      <c r="E8" s="11">
        <v>1</v>
      </c>
      <c r="F8" s="11" t="s">
        <v>68</v>
      </c>
      <c r="G8" s="160">
        <v>25000000</v>
      </c>
      <c r="H8" s="74">
        <v>0</v>
      </c>
      <c r="I8" s="11" t="s">
        <v>163</v>
      </c>
      <c r="J8" s="74">
        <v>0</v>
      </c>
    </row>
    <row r="9" spans="2:10" x14ac:dyDescent="0.25">
      <c r="B9" s="35" t="s">
        <v>26</v>
      </c>
      <c r="C9" s="24" t="s">
        <v>70</v>
      </c>
      <c r="D9" s="25"/>
      <c r="E9" s="21"/>
      <c r="F9" s="21"/>
      <c r="G9" s="21"/>
      <c r="H9" s="21"/>
      <c r="I9" s="21"/>
      <c r="J9" s="21"/>
    </row>
    <row r="10" spans="2:10" x14ac:dyDescent="0.25">
      <c r="B10" s="18"/>
      <c r="C10" s="36" t="s">
        <v>71</v>
      </c>
      <c r="D10" s="37"/>
      <c r="E10" s="70">
        <v>15750</v>
      </c>
      <c r="F10" s="11" t="s">
        <v>69</v>
      </c>
      <c r="G10" s="70">
        <v>200000</v>
      </c>
      <c r="H10" s="73">
        <f>+E10*G10</f>
        <v>3150000000</v>
      </c>
      <c r="I10" s="21">
        <v>15</v>
      </c>
      <c r="J10" s="70">
        <f>+H10/I10</f>
        <v>210000000</v>
      </c>
    </row>
    <row r="11" spans="2:10" x14ac:dyDescent="0.25">
      <c r="B11" s="24"/>
      <c r="C11" s="35" t="s">
        <v>72</v>
      </c>
      <c r="D11" s="38"/>
      <c r="E11" s="11">
        <v>1</v>
      </c>
      <c r="F11" s="11" t="s">
        <v>68</v>
      </c>
      <c r="G11" s="159">
        <v>800000000</v>
      </c>
      <c r="H11" s="73">
        <f>+E11*G11</f>
        <v>800000000</v>
      </c>
      <c r="I11" s="21">
        <v>15</v>
      </c>
      <c r="J11" s="70">
        <f>+H11/I11</f>
        <v>53333333.333333336</v>
      </c>
    </row>
    <row r="12" spans="2:10" x14ac:dyDescent="0.25">
      <c r="B12" s="18"/>
      <c r="C12" s="36" t="s">
        <v>73</v>
      </c>
      <c r="D12" s="37"/>
      <c r="E12" s="11">
        <v>1</v>
      </c>
      <c r="F12" s="11" t="s">
        <v>68</v>
      </c>
      <c r="G12" s="160">
        <v>1000000000</v>
      </c>
      <c r="H12" s="73">
        <f>+E12*G12</f>
        <v>1000000000</v>
      </c>
      <c r="I12" s="21">
        <v>15</v>
      </c>
      <c r="J12" s="70">
        <f>+H12/I12</f>
        <v>66666666.666666664</v>
      </c>
    </row>
    <row r="13" spans="2:10" x14ac:dyDescent="0.25">
      <c r="B13" s="24"/>
      <c r="C13" s="35" t="s">
        <v>171</v>
      </c>
      <c r="D13" s="38"/>
      <c r="E13" s="21"/>
      <c r="F13" s="11" t="s">
        <v>13</v>
      </c>
      <c r="G13" s="21"/>
      <c r="H13" s="70">
        <f>SUM(H8:H12)</f>
        <v>4950000000</v>
      </c>
      <c r="I13" s="21"/>
      <c r="J13" s="70">
        <f>SUM(J8:J12)</f>
        <v>330000000</v>
      </c>
    </row>
    <row r="14" spans="2:10" x14ac:dyDescent="0.25">
      <c r="B14" s="35" t="s">
        <v>28</v>
      </c>
      <c r="C14" s="24" t="s">
        <v>172</v>
      </c>
      <c r="D14" s="25"/>
      <c r="E14" s="21"/>
      <c r="F14" s="11"/>
      <c r="G14" s="21"/>
      <c r="H14" s="21"/>
      <c r="I14" s="21"/>
      <c r="J14" s="21"/>
    </row>
    <row r="15" spans="2:10" x14ac:dyDescent="0.25">
      <c r="B15" s="28"/>
      <c r="C15" s="35" t="s">
        <v>173</v>
      </c>
      <c r="D15" s="26"/>
      <c r="E15" s="79">
        <v>1050</v>
      </c>
      <c r="F15" s="11" t="s">
        <v>179</v>
      </c>
      <c r="G15" s="70">
        <v>5000000</v>
      </c>
      <c r="H15" s="73">
        <f>+E15*G15</f>
        <v>5250000000</v>
      </c>
      <c r="I15" s="21">
        <v>5</v>
      </c>
      <c r="J15" s="70">
        <f>+H15/I15</f>
        <v>1050000000</v>
      </c>
    </row>
    <row r="16" spans="2:10" x14ac:dyDescent="0.25">
      <c r="B16" s="35"/>
      <c r="C16" s="35" t="s">
        <v>180</v>
      </c>
      <c r="D16" s="26"/>
      <c r="E16" s="12"/>
      <c r="F16" s="11"/>
      <c r="G16" s="70"/>
      <c r="H16" s="73">
        <f>+H15</f>
        <v>5250000000</v>
      </c>
      <c r="I16" s="21"/>
      <c r="J16" s="73">
        <f>+J15</f>
        <v>1050000000</v>
      </c>
    </row>
    <row r="17" spans="2:10" x14ac:dyDescent="0.25">
      <c r="B17" s="35" t="s">
        <v>32</v>
      </c>
      <c r="C17" s="24" t="s">
        <v>181</v>
      </c>
      <c r="D17" s="26"/>
      <c r="E17" s="12" t="s">
        <v>13</v>
      </c>
      <c r="F17" s="11" t="s">
        <v>13</v>
      </c>
      <c r="G17" s="21"/>
      <c r="H17" s="21"/>
      <c r="I17" s="21"/>
      <c r="J17" s="21"/>
    </row>
    <row r="18" spans="2:10" x14ac:dyDescent="0.25">
      <c r="B18" s="35"/>
      <c r="C18" s="35" t="s">
        <v>222</v>
      </c>
      <c r="D18" s="26"/>
      <c r="E18" s="79">
        <v>525</v>
      </c>
      <c r="F18" s="11" t="s">
        <v>179</v>
      </c>
      <c r="G18" s="70">
        <v>30000000</v>
      </c>
      <c r="H18" s="73">
        <f t="shared" ref="H18:H23" si="0">+E18*G18</f>
        <v>15750000000</v>
      </c>
      <c r="I18" s="21">
        <v>5</v>
      </c>
      <c r="J18" s="70">
        <f t="shared" ref="J18:J23" si="1">+H18/I18</f>
        <v>3150000000</v>
      </c>
    </row>
    <row r="19" spans="2:10" x14ac:dyDescent="0.25">
      <c r="B19" s="35"/>
      <c r="C19" s="35" t="s">
        <v>174</v>
      </c>
      <c r="D19" s="26"/>
      <c r="E19" s="79">
        <v>2100</v>
      </c>
      <c r="F19" s="11" t="s">
        <v>182</v>
      </c>
      <c r="G19" s="70">
        <v>100000</v>
      </c>
      <c r="H19" s="73">
        <f t="shared" si="0"/>
        <v>210000000</v>
      </c>
      <c r="I19" s="21">
        <v>2</v>
      </c>
      <c r="J19" s="70">
        <f t="shared" si="1"/>
        <v>105000000</v>
      </c>
    </row>
    <row r="20" spans="2:10" x14ac:dyDescent="0.25">
      <c r="B20" s="35"/>
      <c r="C20" s="35" t="s">
        <v>175</v>
      </c>
      <c r="D20" s="26"/>
      <c r="E20" s="79">
        <v>2100</v>
      </c>
      <c r="F20" s="11" t="s">
        <v>182</v>
      </c>
      <c r="G20" s="70">
        <v>100000</v>
      </c>
      <c r="H20" s="73">
        <f t="shared" si="0"/>
        <v>210000000</v>
      </c>
      <c r="I20" s="21">
        <v>2</v>
      </c>
      <c r="J20" s="70">
        <f t="shared" si="1"/>
        <v>105000000</v>
      </c>
    </row>
    <row r="21" spans="2:10" x14ac:dyDescent="0.25">
      <c r="B21" s="35"/>
      <c r="C21" s="35" t="s">
        <v>176</v>
      </c>
      <c r="D21" s="26"/>
      <c r="E21" s="79">
        <v>2100</v>
      </c>
      <c r="F21" s="11" t="s">
        <v>182</v>
      </c>
      <c r="G21" s="70">
        <v>150000</v>
      </c>
      <c r="H21" s="73">
        <f t="shared" si="0"/>
        <v>315000000</v>
      </c>
      <c r="I21" s="21">
        <v>2</v>
      </c>
      <c r="J21" s="70">
        <f t="shared" si="1"/>
        <v>157500000</v>
      </c>
    </row>
    <row r="22" spans="2:10" x14ac:dyDescent="0.25">
      <c r="B22" s="35"/>
      <c r="C22" s="35" t="s">
        <v>177</v>
      </c>
      <c r="D22" s="26"/>
      <c r="E22" s="79">
        <v>1050</v>
      </c>
      <c r="F22" s="11" t="s">
        <v>183</v>
      </c>
      <c r="G22" s="70">
        <v>300000</v>
      </c>
      <c r="H22" s="73">
        <f t="shared" si="0"/>
        <v>315000000</v>
      </c>
      <c r="I22" s="21">
        <v>2</v>
      </c>
      <c r="J22" s="70">
        <f t="shared" si="1"/>
        <v>157500000</v>
      </c>
    </row>
    <row r="23" spans="2:10" x14ac:dyDescent="0.25">
      <c r="B23" s="35"/>
      <c r="C23" s="35" t="s">
        <v>218</v>
      </c>
      <c r="D23" s="26"/>
      <c r="E23" s="79">
        <v>105</v>
      </c>
      <c r="F23" s="11" t="s">
        <v>219</v>
      </c>
      <c r="G23" s="70">
        <v>500000</v>
      </c>
      <c r="H23" s="73">
        <f t="shared" si="0"/>
        <v>52500000</v>
      </c>
      <c r="I23" s="21">
        <v>4</v>
      </c>
      <c r="J23" s="70">
        <f t="shared" si="1"/>
        <v>13125000</v>
      </c>
    </row>
    <row r="24" spans="2:10" x14ac:dyDescent="0.25">
      <c r="B24" s="36"/>
      <c r="C24" s="36" t="s">
        <v>178</v>
      </c>
      <c r="D24" s="19"/>
      <c r="E24" s="12"/>
      <c r="F24" s="11"/>
      <c r="G24" s="21"/>
      <c r="H24" s="73">
        <f>SUM(H18:H23)</f>
        <v>16852500000</v>
      </c>
      <c r="I24" s="21"/>
      <c r="J24" s="73">
        <f>SUM(J18:J23)</f>
        <v>3688125000</v>
      </c>
    </row>
    <row r="25" spans="2:10" x14ac:dyDescent="0.25">
      <c r="B25" s="35" t="s">
        <v>33</v>
      </c>
      <c r="C25" s="24" t="s">
        <v>74</v>
      </c>
      <c r="D25" s="25"/>
      <c r="E25" s="74">
        <v>2</v>
      </c>
      <c r="F25" s="11" t="s">
        <v>179</v>
      </c>
      <c r="G25" s="159">
        <v>250000000</v>
      </c>
      <c r="H25" s="73">
        <f t="shared" ref="H25:H26" si="2">+E25*G25</f>
        <v>500000000</v>
      </c>
      <c r="I25" s="21">
        <v>5</v>
      </c>
      <c r="J25" s="70">
        <f t="shared" ref="J25" si="3">+H25/I25</f>
        <v>100000000</v>
      </c>
    </row>
    <row r="26" spans="2:10" x14ac:dyDescent="0.25">
      <c r="B26" s="36" t="s">
        <v>35</v>
      </c>
      <c r="C26" s="18" t="s">
        <v>75</v>
      </c>
      <c r="D26" s="19"/>
      <c r="E26" s="13">
        <v>210</v>
      </c>
      <c r="F26" s="11" t="s">
        <v>179</v>
      </c>
      <c r="G26" s="70">
        <v>14000000</v>
      </c>
      <c r="H26" s="73">
        <f t="shared" si="2"/>
        <v>2940000000</v>
      </c>
      <c r="I26" s="21">
        <v>5</v>
      </c>
      <c r="J26" s="70">
        <f t="shared" ref="J26" si="4">+H26/I26</f>
        <v>588000000</v>
      </c>
    </row>
    <row r="27" spans="2:10" x14ac:dyDescent="0.25">
      <c r="B27" s="24"/>
      <c r="C27" s="24" t="s">
        <v>11</v>
      </c>
      <c r="D27" s="25"/>
      <c r="E27" s="21"/>
      <c r="F27" s="21"/>
      <c r="G27" s="21"/>
      <c r="H27" s="73">
        <f>+H26+H24+H16+H13+H8</f>
        <v>29992500000</v>
      </c>
      <c r="I27" s="21"/>
      <c r="J27" s="73">
        <f>+J26+J24+J16+J13+J8</f>
        <v>5656125000</v>
      </c>
    </row>
  </sheetData>
  <mergeCells count="1">
    <mergeCell ref="C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28" workbookViewId="0">
      <selection activeCell="B1" sqref="B1:B2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102</v>
      </c>
    </row>
    <row r="3" spans="2:11" x14ac:dyDescent="0.25">
      <c r="B3" s="4" t="s">
        <v>76</v>
      </c>
      <c r="C3" s="4"/>
      <c r="D3" s="4"/>
      <c r="E3" s="33" t="s">
        <v>13</v>
      </c>
    </row>
    <row r="4" spans="2:11" x14ac:dyDescent="0.25">
      <c r="B4" s="1" t="s">
        <v>1</v>
      </c>
      <c r="C4" s="1"/>
      <c r="D4" s="1"/>
      <c r="E4" s="39" t="s">
        <v>12</v>
      </c>
      <c r="F4" t="s">
        <v>206</v>
      </c>
    </row>
    <row r="5" spans="2:11" x14ac:dyDescent="0.25">
      <c r="B5" s="1" t="s">
        <v>2</v>
      </c>
      <c r="C5" s="1"/>
      <c r="D5" s="1"/>
      <c r="E5" s="39" t="s">
        <v>12</v>
      </c>
      <c r="F5" t="s">
        <v>226</v>
      </c>
    </row>
    <row r="6" spans="2:11" x14ac:dyDescent="0.25">
      <c r="B6" t="s">
        <v>224</v>
      </c>
      <c r="C6" s="4"/>
      <c r="D6" s="1"/>
      <c r="E6" s="39" t="s">
        <v>12</v>
      </c>
      <c r="F6" t="s">
        <v>225</v>
      </c>
    </row>
    <row r="8" spans="2:11" x14ac:dyDescent="0.25">
      <c r="B8" s="40" t="s">
        <v>19</v>
      </c>
      <c r="C8" s="75"/>
      <c r="D8" s="41" t="s">
        <v>20</v>
      </c>
      <c r="E8" s="49"/>
      <c r="F8" s="42" t="s">
        <v>63</v>
      </c>
      <c r="G8" s="42" t="s">
        <v>22</v>
      </c>
      <c r="H8" s="42" t="s">
        <v>64</v>
      </c>
      <c r="I8" s="42" t="s">
        <v>77</v>
      </c>
      <c r="J8" s="42" t="s">
        <v>77</v>
      </c>
      <c r="K8" s="42" t="s">
        <v>77</v>
      </c>
    </row>
    <row r="9" spans="2:11" x14ac:dyDescent="0.25">
      <c r="B9" s="44"/>
      <c r="C9" s="45"/>
      <c r="D9" s="46"/>
      <c r="E9" s="50"/>
      <c r="F9" s="44"/>
      <c r="G9" s="44"/>
      <c r="H9" s="47" t="s">
        <v>22</v>
      </c>
      <c r="I9" s="47" t="s">
        <v>78</v>
      </c>
      <c r="J9" s="47" t="s">
        <v>79</v>
      </c>
      <c r="K9" s="47" t="s">
        <v>80</v>
      </c>
    </row>
    <row r="10" spans="2:11" x14ac:dyDescent="0.25">
      <c r="B10" s="35" t="s">
        <v>23</v>
      </c>
      <c r="C10" s="24" t="s">
        <v>81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5" t="s">
        <v>41</v>
      </c>
      <c r="C11" s="24" t="s">
        <v>170</v>
      </c>
      <c r="D11" s="25"/>
      <c r="E11" s="26"/>
      <c r="F11" s="70">
        <v>1050</v>
      </c>
      <c r="G11" s="11" t="s">
        <v>223</v>
      </c>
      <c r="H11" s="70">
        <v>10000000</v>
      </c>
      <c r="I11" s="73">
        <f>+F11*H11/3</f>
        <v>3500000000</v>
      </c>
      <c r="J11" s="11" t="s">
        <v>163</v>
      </c>
      <c r="K11" s="73">
        <f>3*I11</f>
        <v>10500000000</v>
      </c>
    </row>
    <row r="12" spans="2:11" x14ac:dyDescent="0.25">
      <c r="B12" s="35" t="s">
        <v>45</v>
      </c>
      <c r="C12" s="24" t="s">
        <v>187</v>
      </c>
      <c r="D12" s="25"/>
      <c r="E12" s="26"/>
      <c r="F12" s="21"/>
      <c r="G12" s="11"/>
      <c r="H12" s="21"/>
      <c r="I12" s="21"/>
      <c r="J12" s="21"/>
      <c r="K12" s="21"/>
    </row>
    <row r="13" spans="2:11" x14ac:dyDescent="0.25">
      <c r="B13" s="36" t="s">
        <v>13</v>
      </c>
      <c r="C13" s="78" t="s">
        <v>163</v>
      </c>
      <c r="D13" s="19" t="s">
        <v>220</v>
      </c>
      <c r="E13" s="20"/>
      <c r="F13" s="70">
        <v>21000</v>
      </c>
      <c r="G13" s="11" t="s">
        <v>167</v>
      </c>
      <c r="H13" s="70">
        <v>10000</v>
      </c>
      <c r="I13" s="73">
        <f>+F13*H13</f>
        <v>210000000</v>
      </c>
      <c r="J13" s="11" t="s">
        <v>163</v>
      </c>
      <c r="K13" s="73">
        <f>3*I13</f>
        <v>630000000</v>
      </c>
    </row>
    <row r="14" spans="2:11" x14ac:dyDescent="0.25">
      <c r="B14" s="35" t="s">
        <v>13</v>
      </c>
      <c r="C14" s="77" t="s">
        <v>163</v>
      </c>
      <c r="D14" s="38" t="s">
        <v>184</v>
      </c>
      <c r="E14" s="26"/>
      <c r="F14" s="70">
        <v>210000</v>
      </c>
      <c r="G14" s="11" t="s">
        <v>167</v>
      </c>
      <c r="H14" s="70">
        <v>3000</v>
      </c>
      <c r="I14" s="73">
        <f t="shared" ref="I14:I17" si="0">+F14*H14</f>
        <v>630000000</v>
      </c>
      <c r="J14" s="11" t="s">
        <v>163</v>
      </c>
      <c r="K14" s="73">
        <f t="shared" ref="K14:K17" si="1">3*I14</f>
        <v>1890000000</v>
      </c>
    </row>
    <row r="15" spans="2:11" x14ac:dyDescent="0.25">
      <c r="B15" s="36" t="s">
        <v>13</v>
      </c>
      <c r="C15" s="78" t="s">
        <v>163</v>
      </c>
      <c r="D15" s="38" t="s">
        <v>221</v>
      </c>
      <c r="E15" s="26"/>
      <c r="F15" s="70">
        <v>315000</v>
      </c>
      <c r="G15" s="11" t="s">
        <v>167</v>
      </c>
      <c r="H15" s="70">
        <v>3000</v>
      </c>
      <c r="I15" s="73">
        <f t="shared" si="0"/>
        <v>945000000</v>
      </c>
      <c r="J15" s="11" t="s">
        <v>163</v>
      </c>
      <c r="K15" s="73">
        <f t="shared" si="1"/>
        <v>2835000000</v>
      </c>
    </row>
    <row r="16" spans="2:11" x14ac:dyDescent="0.25">
      <c r="B16" s="35" t="s">
        <v>13</v>
      </c>
      <c r="C16" s="78" t="s">
        <v>163</v>
      </c>
      <c r="D16" s="38" t="s">
        <v>185</v>
      </c>
      <c r="E16" s="34"/>
      <c r="F16" s="80">
        <v>1050000</v>
      </c>
      <c r="G16" s="11" t="s">
        <v>167</v>
      </c>
      <c r="H16" s="70">
        <v>750</v>
      </c>
      <c r="I16" s="73">
        <f t="shared" si="0"/>
        <v>787500000</v>
      </c>
      <c r="J16" s="11" t="s">
        <v>163</v>
      </c>
      <c r="K16" s="73">
        <f t="shared" si="1"/>
        <v>2362500000</v>
      </c>
    </row>
    <row r="17" spans="2:11" x14ac:dyDescent="0.25">
      <c r="B17" s="35" t="s">
        <v>13</v>
      </c>
      <c r="C17" s="78" t="s">
        <v>163</v>
      </c>
      <c r="D17" s="38" t="s">
        <v>186</v>
      </c>
      <c r="E17" s="34"/>
      <c r="F17" s="80">
        <v>63000</v>
      </c>
      <c r="G17" s="11" t="s">
        <v>167</v>
      </c>
      <c r="H17" s="70">
        <v>20000</v>
      </c>
      <c r="I17" s="73">
        <f t="shared" si="0"/>
        <v>1260000000</v>
      </c>
      <c r="J17" s="11" t="s">
        <v>163</v>
      </c>
      <c r="K17" s="73">
        <f t="shared" si="1"/>
        <v>3780000000</v>
      </c>
    </row>
    <row r="18" spans="2:11" x14ac:dyDescent="0.25">
      <c r="B18" s="36"/>
      <c r="C18" s="36"/>
      <c r="D18" s="38" t="s">
        <v>82</v>
      </c>
      <c r="E18" s="34"/>
      <c r="F18" s="80"/>
      <c r="G18" s="11"/>
      <c r="H18" s="21"/>
      <c r="I18" s="73">
        <f>SUM(I13:I17)</f>
        <v>3832500000</v>
      </c>
      <c r="J18" s="21"/>
      <c r="K18" s="73">
        <f>SUM(K13:K17)</f>
        <v>11497500000</v>
      </c>
    </row>
    <row r="19" spans="2:11" x14ac:dyDescent="0.25">
      <c r="B19" s="35" t="s">
        <v>46</v>
      </c>
      <c r="C19" s="24" t="s">
        <v>83</v>
      </c>
      <c r="E19" s="26"/>
      <c r="F19" s="21"/>
      <c r="G19" s="21"/>
      <c r="H19" s="21"/>
      <c r="I19" s="21"/>
      <c r="J19" s="21"/>
      <c r="K19" s="21"/>
    </row>
    <row r="20" spans="2:11" x14ac:dyDescent="0.25">
      <c r="B20" s="24"/>
      <c r="C20" s="78" t="s">
        <v>163</v>
      </c>
      <c r="D20" s="82" t="s">
        <v>217</v>
      </c>
      <c r="E20" s="8"/>
      <c r="F20" s="155">
        <v>15750</v>
      </c>
      <c r="G20" s="11" t="s">
        <v>84</v>
      </c>
      <c r="H20" s="70">
        <v>125000</v>
      </c>
      <c r="I20" s="73">
        <f t="shared" ref="I20:I29" si="2">+F20*H20</f>
        <v>1968750000</v>
      </c>
      <c r="J20" s="11" t="s">
        <v>163</v>
      </c>
      <c r="K20" s="73">
        <f t="shared" ref="K20:K27" si="3">3*I20</f>
        <v>5906250000</v>
      </c>
    </row>
    <row r="21" spans="2:11" x14ac:dyDescent="0.25">
      <c r="B21" s="24"/>
      <c r="C21" s="78" t="s">
        <v>163</v>
      </c>
      <c r="D21" s="84" t="s">
        <v>210</v>
      </c>
      <c r="E21" s="9"/>
      <c r="F21" s="136">
        <v>2100</v>
      </c>
      <c r="G21" s="11" t="s">
        <v>84</v>
      </c>
      <c r="H21" s="70">
        <f t="shared" ref="H21:H27" si="4">+H20</f>
        <v>125000</v>
      </c>
      <c r="I21" s="73">
        <f t="shared" si="2"/>
        <v>262500000</v>
      </c>
      <c r="J21" s="11" t="s">
        <v>163</v>
      </c>
      <c r="K21" s="73">
        <f t="shared" si="3"/>
        <v>787500000</v>
      </c>
    </row>
    <row r="22" spans="2:11" x14ac:dyDescent="0.25">
      <c r="B22" s="24"/>
      <c r="C22" s="78" t="s">
        <v>163</v>
      </c>
      <c r="D22" s="86" t="s">
        <v>211</v>
      </c>
      <c r="E22" s="10"/>
      <c r="F22" s="155">
        <v>21000</v>
      </c>
      <c r="G22" s="11" t="s">
        <v>84</v>
      </c>
      <c r="H22" s="70">
        <f t="shared" si="4"/>
        <v>125000</v>
      </c>
      <c r="I22" s="73">
        <f t="shared" si="2"/>
        <v>2625000000</v>
      </c>
      <c r="J22" s="11" t="s">
        <v>163</v>
      </c>
      <c r="K22" s="73">
        <f t="shared" si="3"/>
        <v>7875000000</v>
      </c>
    </row>
    <row r="23" spans="2:11" x14ac:dyDescent="0.25">
      <c r="B23" s="24"/>
      <c r="C23" s="78" t="s">
        <v>163</v>
      </c>
      <c r="D23" s="84" t="s">
        <v>212</v>
      </c>
      <c r="E23" s="9"/>
      <c r="F23" s="136">
        <v>6300</v>
      </c>
      <c r="G23" s="11" t="s">
        <v>84</v>
      </c>
      <c r="H23" s="70">
        <f t="shared" si="4"/>
        <v>125000</v>
      </c>
      <c r="I23" s="73">
        <f t="shared" si="2"/>
        <v>787500000</v>
      </c>
      <c r="J23" s="11" t="s">
        <v>163</v>
      </c>
      <c r="K23" s="73">
        <f t="shared" si="3"/>
        <v>2362500000</v>
      </c>
    </row>
    <row r="24" spans="2:11" x14ac:dyDescent="0.25">
      <c r="B24" s="24"/>
      <c r="C24" s="78" t="s">
        <v>163</v>
      </c>
      <c r="D24" s="84" t="s">
        <v>213</v>
      </c>
      <c r="E24" s="10"/>
      <c r="F24" s="155">
        <v>6300</v>
      </c>
      <c r="G24" s="11" t="s">
        <v>84</v>
      </c>
      <c r="H24" s="70">
        <f t="shared" si="4"/>
        <v>125000</v>
      </c>
      <c r="I24" s="73">
        <f t="shared" si="2"/>
        <v>787500000</v>
      </c>
      <c r="J24" s="11" t="s">
        <v>163</v>
      </c>
      <c r="K24" s="73">
        <f t="shared" si="3"/>
        <v>2362500000</v>
      </c>
    </row>
    <row r="25" spans="2:11" x14ac:dyDescent="0.25">
      <c r="B25" s="18"/>
      <c r="C25" s="78" t="s">
        <v>163</v>
      </c>
      <c r="D25" s="84" t="s">
        <v>214</v>
      </c>
      <c r="E25" s="9"/>
      <c r="F25" s="136">
        <v>4200</v>
      </c>
      <c r="G25" s="11" t="s">
        <v>84</v>
      </c>
      <c r="H25" s="70">
        <f t="shared" si="4"/>
        <v>125000</v>
      </c>
      <c r="I25" s="73">
        <f t="shared" si="2"/>
        <v>525000000</v>
      </c>
      <c r="J25" s="11" t="s">
        <v>163</v>
      </c>
      <c r="K25" s="73">
        <f t="shared" si="3"/>
        <v>1575000000</v>
      </c>
    </row>
    <row r="26" spans="2:11" x14ac:dyDescent="0.25">
      <c r="B26" s="21"/>
      <c r="C26" s="78" t="s">
        <v>163</v>
      </c>
      <c r="D26" s="86" t="s">
        <v>215</v>
      </c>
      <c r="E26" s="10"/>
      <c r="F26" s="155">
        <v>12600</v>
      </c>
      <c r="G26" s="11" t="s">
        <v>84</v>
      </c>
      <c r="H26" s="70">
        <f t="shared" si="4"/>
        <v>125000</v>
      </c>
      <c r="I26" s="73">
        <f t="shared" si="2"/>
        <v>1575000000</v>
      </c>
      <c r="J26" s="11" t="s">
        <v>163</v>
      </c>
      <c r="K26" s="73">
        <f t="shared" si="3"/>
        <v>4725000000</v>
      </c>
    </row>
    <row r="27" spans="2:11" x14ac:dyDescent="0.25">
      <c r="B27" s="21"/>
      <c r="C27" s="78" t="s">
        <v>163</v>
      </c>
      <c r="D27" s="88" t="s">
        <v>216</v>
      </c>
      <c r="E27" s="68"/>
      <c r="F27" s="156">
        <v>6300</v>
      </c>
      <c r="G27" s="11" t="s">
        <v>84</v>
      </c>
      <c r="H27" s="70">
        <f t="shared" si="4"/>
        <v>125000</v>
      </c>
      <c r="I27" s="73">
        <f t="shared" si="2"/>
        <v>787500000</v>
      </c>
      <c r="J27" s="11" t="s">
        <v>163</v>
      </c>
      <c r="K27" s="73">
        <f t="shared" si="3"/>
        <v>2362500000</v>
      </c>
    </row>
    <row r="28" spans="2:11" x14ac:dyDescent="0.25">
      <c r="B28" s="18"/>
      <c r="C28" s="78"/>
      <c r="D28" s="104" t="s">
        <v>85</v>
      </c>
      <c r="E28" s="10"/>
      <c r="F28" s="98"/>
      <c r="G28" s="11"/>
      <c r="H28" s="70"/>
      <c r="I28" s="73">
        <f>SUM(I20:I27)</f>
        <v>9318750000</v>
      </c>
      <c r="J28" s="11"/>
      <c r="K28" s="73">
        <f>SUM(K20:K27)</f>
        <v>27956250000</v>
      </c>
    </row>
    <row r="29" spans="2:11" x14ac:dyDescent="0.25">
      <c r="B29" s="24" t="s">
        <v>87</v>
      </c>
      <c r="C29" s="35" t="s">
        <v>86</v>
      </c>
      <c r="D29" s="25"/>
      <c r="E29" s="26"/>
      <c r="F29" s="14">
        <v>1</v>
      </c>
      <c r="G29" s="11" t="s">
        <v>68</v>
      </c>
      <c r="H29" s="70">
        <v>262500000</v>
      </c>
      <c r="I29" s="73">
        <f t="shared" si="2"/>
        <v>262500000</v>
      </c>
      <c r="J29" s="11" t="s">
        <v>163</v>
      </c>
      <c r="K29" s="73">
        <f t="shared" ref="K29:K30" si="5">3*I29</f>
        <v>787500000</v>
      </c>
    </row>
    <row r="30" spans="2:11" x14ac:dyDescent="0.25">
      <c r="B30" s="21" t="s">
        <v>93</v>
      </c>
      <c r="C30" s="38" t="s">
        <v>103</v>
      </c>
      <c r="D30" s="25"/>
      <c r="E30" s="34"/>
      <c r="F30" s="14">
        <v>1</v>
      </c>
      <c r="G30" s="11" t="s">
        <v>68</v>
      </c>
      <c r="H30" s="70">
        <v>262500000</v>
      </c>
      <c r="I30" s="73">
        <f t="shared" ref="I30" si="6">+F30*H30</f>
        <v>262500000</v>
      </c>
      <c r="J30" s="11" t="s">
        <v>163</v>
      </c>
      <c r="K30" s="73">
        <f t="shared" si="5"/>
        <v>787500000</v>
      </c>
    </row>
    <row r="31" spans="2:11" x14ac:dyDescent="0.25">
      <c r="B31" s="18"/>
      <c r="C31" s="35" t="s">
        <v>88</v>
      </c>
      <c r="D31" s="25"/>
      <c r="E31" s="20"/>
      <c r="F31" s="14"/>
      <c r="G31" s="11"/>
      <c r="H31" s="21"/>
      <c r="I31" s="73">
        <f>+I30+I29+I28+I18+I11</f>
        <v>17176250000</v>
      </c>
      <c r="J31" s="21"/>
      <c r="K31" s="70">
        <f>+K30+K29+K28+K18+K11</f>
        <v>51528750000</v>
      </c>
    </row>
    <row r="32" spans="2:11" x14ac:dyDescent="0.25">
      <c r="B32" s="35" t="s">
        <v>26</v>
      </c>
      <c r="C32" s="24" t="s">
        <v>89</v>
      </c>
      <c r="D32" s="25"/>
      <c r="E32" s="26"/>
      <c r="F32" s="21"/>
      <c r="G32" s="11"/>
      <c r="H32" s="21"/>
      <c r="I32" s="21"/>
      <c r="J32" s="21"/>
      <c r="K32" s="21"/>
    </row>
    <row r="33" spans="2:11" x14ac:dyDescent="0.25">
      <c r="B33" s="36" t="s">
        <v>41</v>
      </c>
      <c r="C33" s="15" t="s">
        <v>227</v>
      </c>
      <c r="D33" s="16"/>
      <c r="E33" s="20"/>
      <c r="F33" s="14">
        <v>4</v>
      </c>
      <c r="G33" s="11" t="s">
        <v>27</v>
      </c>
      <c r="H33" s="161">
        <v>15000000</v>
      </c>
      <c r="I33" s="73">
        <f t="shared" ref="I33:I34" si="7">+F33*H33</f>
        <v>60000000</v>
      </c>
      <c r="J33" s="27" t="s">
        <v>163</v>
      </c>
      <c r="K33" s="73">
        <f t="shared" ref="K33:K36" si="8">3*I33</f>
        <v>180000000</v>
      </c>
    </row>
    <row r="34" spans="2:11" x14ac:dyDescent="0.25">
      <c r="B34" s="35" t="s">
        <v>45</v>
      </c>
      <c r="C34" s="24" t="s">
        <v>90</v>
      </c>
      <c r="D34" s="25"/>
      <c r="E34" s="26"/>
      <c r="F34" s="12">
        <v>4</v>
      </c>
      <c r="G34" s="11" t="s">
        <v>27</v>
      </c>
      <c r="H34" s="70">
        <v>5000000</v>
      </c>
      <c r="I34" s="73">
        <f t="shared" si="7"/>
        <v>20000000</v>
      </c>
      <c r="J34" s="27" t="s">
        <v>163</v>
      </c>
      <c r="K34" s="73">
        <f t="shared" si="8"/>
        <v>60000000</v>
      </c>
    </row>
    <row r="35" spans="2:11" x14ac:dyDescent="0.25">
      <c r="B35" s="36" t="s">
        <v>46</v>
      </c>
      <c r="C35" s="18" t="s">
        <v>91</v>
      </c>
      <c r="D35" s="19"/>
      <c r="E35" s="20"/>
      <c r="F35" s="12">
        <v>4</v>
      </c>
      <c r="G35" s="11" t="s">
        <v>27</v>
      </c>
      <c r="H35" s="70">
        <v>1000000</v>
      </c>
      <c r="I35" s="73">
        <f t="shared" ref="I35" si="9">+F35*H35</f>
        <v>4000000</v>
      </c>
      <c r="J35" s="27" t="s">
        <v>163</v>
      </c>
      <c r="K35" s="73">
        <f t="shared" si="8"/>
        <v>12000000</v>
      </c>
    </row>
    <row r="36" spans="2:11" x14ac:dyDescent="0.25">
      <c r="B36" s="35" t="s">
        <v>87</v>
      </c>
      <c r="C36" s="24" t="s">
        <v>92</v>
      </c>
      <c r="D36" s="25"/>
      <c r="E36" s="26"/>
      <c r="F36" s="12">
        <v>4</v>
      </c>
      <c r="G36" s="11" t="s">
        <v>27</v>
      </c>
      <c r="H36" s="70">
        <v>1500000</v>
      </c>
      <c r="I36" s="73">
        <f t="shared" ref="I36:I38" si="10">+F36*H36</f>
        <v>6000000</v>
      </c>
      <c r="J36" s="27" t="s">
        <v>163</v>
      </c>
      <c r="K36" s="73">
        <f t="shared" si="8"/>
        <v>18000000</v>
      </c>
    </row>
    <row r="37" spans="2:11" x14ac:dyDescent="0.25">
      <c r="B37" s="36" t="s">
        <v>93</v>
      </c>
      <c r="C37" s="18" t="s">
        <v>94</v>
      </c>
      <c r="D37" s="19"/>
      <c r="E37" s="20"/>
      <c r="F37" s="27" t="s">
        <v>163</v>
      </c>
      <c r="G37" s="27" t="s">
        <v>163</v>
      </c>
      <c r="H37" s="27" t="s">
        <v>163</v>
      </c>
      <c r="I37" s="27" t="s">
        <v>163</v>
      </c>
      <c r="J37" s="27" t="s">
        <v>163</v>
      </c>
      <c r="K37" s="27" t="s">
        <v>163</v>
      </c>
    </row>
    <row r="38" spans="2:11" x14ac:dyDescent="0.25">
      <c r="B38" s="35" t="s">
        <v>95</v>
      </c>
      <c r="C38" s="24" t="s">
        <v>96</v>
      </c>
      <c r="D38" s="25"/>
      <c r="E38" s="26"/>
      <c r="F38" s="12">
        <v>4</v>
      </c>
      <c r="G38" s="11" t="s">
        <v>188</v>
      </c>
      <c r="H38" s="70">
        <v>800000</v>
      </c>
      <c r="I38" s="73">
        <f t="shared" si="10"/>
        <v>3200000</v>
      </c>
      <c r="J38" s="27" t="s">
        <v>163</v>
      </c>
      <c r="K38" s="73">
        <f t="shared" ref="K38:K40" si="11">3*I38</f>
        <v>9600000</v>
      </c>
    </row>
    <row r="39" spans="2:11" x14ac:dyDescent="0.25">
      <c r="B39" s="36" t="s">
        <v>97</v>
      </c>
      <c r="C39" s="18" t="s">
        <v>98</v>
      </c>
      <c r="D39" s="19"/>
      <c r="E39" s="20"/>
      <c r="F39" s="12">
        <v>2</v>
      </c>
      <c r="G39" s="11" t="s">
        <v>189</v>
      </c>
      <c r="H39" s="70">
        <v>2000000</v>
      </c>
      <c r="I39" s="27" t="s">
        <v>163</v>
      </c>
      <c r="J39" s="27" t="s">
        <v>163</v>
      </c>
      <c r="K39" s="73">
        <f>+H39*F39</f>
        <v>4000000</v>
      </c>
    </row>
    <row r="40" spans="2:11" x14ac:dyDescent="0.25">
      <c r="B40" s="24" t="s">
        <v>99</v>
      </c>
      <c r="C40" s="35" t="s">
        <v>103</v>
      </c>
      <c r="D40" s="38"/>
      <c r="E40" s="26"/>
      <c r="F40" s="12">
        <v>1</v>
      </c>
      <c r="G40" s="11" t="s">
        <v>68</v>
      </c>
      <c r="H40" s="70">
        <v>10000000</v>
      </c>
      <c r="I40" s="73">
        <f t="shared" ref="I40" si="12">+F40*H40</f>
        <v>10000000</v>
      </c>
      <c r="J40" s="27" t="s">
        <v>163</v>
      </c>
      <c r="K40" s="73">
        <f t="shared" si="11"/>
        <v>30000000</v>
      </c>
    </row>
    <row r="41" spans="2:11" x14ac:dyDescent="0.25">
      <c r="B41" s="35"/>
      <c r="C41" s="24" t="s">
        <v>100</v>
      </c>
      <c r="D41" s="25"/>
      <c r="E41" s="26"/>
      <c r="F41" s="12"/>
      <c r="G41" s="11"/>
      <c r="H41" s="21"/>
      <c r="I41" s="70">
        <f>SUM(I33:I40)</f>
        <v>103200000</v>
      </c>
      <c r="J41" s="21"/>
      <c r="K41" s="70">
        <f>SUM(K33:K40)</f>
        <v>313600000</v>
      </c>
    </row>
    <row r="42" spans="2:11" x14ac:dyDescent="0.25">
      <c r="B42" s="35"/>
      <c r="C42" s="35"/>
      <c r="D42" s="25" t="s">
        <v>101</v>
      </c>
      <c r="E42" s="26"/>
      <c r="F42" s="21"/>
      <c r="G42" s="11"/>
      <c r="H42" s="21"/>
      <c r="I42" s="73">
        <f>+I41+I31</f>
        <v>17279450000</v>
      </c>
      <c r="J42" s="21"/>
      <c r="K42" s="73">
        <f>+K41+K31</f>
        <v>51842350000</v>
      </c>
    </row>
    <row r="43" spans="2:11" x14ac:dyDescent="0.25">
      <c r="B43" s="105" t="s">
        <v>231</v>
      </c>
      <c r="C43" s="5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27"/>
  <sheetViews>
    <sheetView topLeftCell="A10" workbookViewId="0">
      <selection activeCell="B1" sqref="B1:B2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1" spans="2:17" x14ac:dyDescent="0.25">
      <c r="B1" s="4" t="s">
        <v>108</v>
      </c>
      <c r="C1" s="4"/>
      <c r="D1" s="4"/>
      <c r="E1" s="33" t="s">
        <v>13</v>
      </c>
    </row>
    <row r="2" spans="2:17" x14ac:dyDescent="0.25">
      <c r="B2" s="1" t="s">
        <v>1</v>
      </c>
      <c r="C2" s="1"/>
      <c r="D2" s="4"/>
      <c r="E2" s="33" t="s">
        <v>12</v>
      </c>
      <c r="F2" t="s">
        <v>206</v>
      </c>
    </row>
    <row r="3" spans="2:17" x14ac:dyDescent="0.25">
      <c r="B3" s="1" t="s">
        <v>2</v>
      </c>
      <c r="C3" s="1"/>
      <c r="D3" s="4"/>
      <c r="E3" s="33" t="s">
        <v>12</v>
      </c>
      <c r="F3" t="s">
        <v>226</v>
      </c>
    </row>
    <row r="4" spans="2:17" x14ac:dyDescent="0.25">
      <c r="B4" t="s">
        <v>224</v>
      </c>
      <c r="C4" s="4"/>
      <c r="D4" s="4"/>
      <c r="E4" s="33" t="s">
        <v>12</v>
      </c>
      <c r="F4" t="s">
        <v>225</v>
      </c>
    </row>
    <row r="6" spans="2:17" x14ac:dyDescent="0.25">
      <c r="B6" s="32" t="s">
        <v>109</v>
      </c>
      <c r="C6" s="171" t="s">
        <v>20</v>
      </c>
      <c r="D6" s="172"/>
      <c r="E6" s="175"/>
      <c r="F6" s="32" t="s">
        <v>63</v>
      </c>
      <c r="G6" s="32" t="s">
        <v>22</v>
      </c>
      <c r="H6" s="32" t="s">
        <v>111</v>
      </c>
      <c r="I6" s="31" t="s">
        <v>110</v>
      </c>
    </row>
    <row r="7" spans="2:17" x14ac:dyDescent="0.25">
      <c r="B7" s="54" t="s">
        <v>23</v>
      </c>
      <c r="C7" s="60" t="s">
        <v>112</v>
      </c>
      <c r="D7" s="61"/>
      <c r="E7" s="17"/>
      <c r="G7" s="12"/>
      <c r="I7" s="12"/>
      <c r="Q7" t="s">
        <v>13</v>
      </c>
    </row>
    <row r="8" spans="2:17" x14ac:dyDescent="0.25">
      <c r="B8" s="21"/>
      <c r="C8" s="24" t="s">
        <v>41</v>
      </c>
      <c r="D8" s="25" t="s">
        <v>190</v>
      </c>
      <c r="E8" s="26"/>
      <c r="F8" s="25">
        <v>1</v>
      </c>
      <c r="G8" s="11" t="s">
        <v>114</v>
      </c>
      <c r="H8" s="106">
        <f>+'Tabel Lampiran 5'!I18</f>
        <v>3832500000</v>
      </c>
      <c r="I8" s="73">
        <f>+H8</f>
        <v>3832500000</v>
      </c>
    </row>
    <row r="9" spans="2:17" x14ac:dyDescent="0.25">
      <c r="B9" s="13" t="s">
        <v>13</v>
      </c>
      <c r="C9" s="18" t="s">
        <v>45</v>
      </c>
      <c r="D9" s="19" t="s">
        <v>83</v>
      </c>
      <c r="E9" s="20"/>
      <c r="F9">
        <v>1</v>
      </c>
      <c r="G9" s="23" t="s">
        <v>114</v>
      </c>
      <c r="H9" s="107">
        <f>+'Tabel Lampiran 5'!I28</f>
        <v>9318750000</v>
      </c>
      <c r="I9" s="108">
        <f>+H9</f>
        <v>9318750000</v>
      </c>
    </row>
    <row r="10" spans="2:17" x14ac:dyDescent="0.25">
      <c r="B10" s="21"/>
      <c r="C10" s="24" t="s">
        <v>46</v>
      </c>
      <c r="D10" s="25" t="s">
        <v>115</v>
      </c>
      <c r="E10" s="26"/>
      <c r="F10" s="25">
        <v>6</v>
      </c>
      <c r="G10" s="11" t="s">
        <v>27</v>
      </c>
      <c r="H10" s="106">
        <f>+'Tabel Lampiran 5'!I41</f>
        <v>103200000</v>
      </c>
      <c r="I10" s="73">
        <f>+H10</f>
        <v>103200000</v>
      </c>
    </row>
    <row r="11" spans="2:17" x14ac:dyDescent="0.25">
      <c r="B11" s="13"/>
      <c r="C11" s="18" t="s">
        <v>116</v>
      </c>
      <c r="D11" s="19"/>
      <c r="E11" s="20"/>
      <c r="G11" s="13"/>
      <c r="H11" s="107" t="s">
        <v>13</v>
      </c>
      <c r="I11" s="108">
        <f>SUM(I8:I10)</f>
        <v>13254450000</v>
      </c>
      <c r="K11" s="107" t="s">
        <v>13</v>
      </c>
    </row>
    <row r="12" spans="2:17" x14ac:dyDescent="0.25">
      <c r="B12" s="57" t="s">
        <v>26</v>
      </c>
      <c r="C12" s="51" t="s">
        <v>117</v>
      </c>
      <c r="D12" s="52"/>
      <c r="E12" s="26"/>
      <c r="F12" s="25"/>
      <c r="G12" s="21"/>
      <c r="H12" s="25"/>
      <c r="I12" s="21"/>
    </row>
    <row r="13" spans="2:17" x14ac:dyDescent="0.25">
      <c r="B13" s="13"/>
      <c r="C13" s="18" t="s">
        <v>41</v>
      </c>
      <c r="D13" s="56" t="s">
        <v>117</v>
      </c>
      <c r="E13" s="20"/>
      <c r="F13">
        <v>1</v>
      </c>
      <c r="G13" s="23" t="s">
        <v>68</v>
      </c>
      <c r="H13" s="107">
        <f>+'Tabel Lampiran 4'!H27</f>
        <v>29992500000</v>
      </c>
      <c r="I13" s="108">
        <f>+H13</f>
        <v>29992500000</v>
      </c>
    </row>
    <row r="14" spans="2:17" x14ac:dyDescent="0.25">
      <c r="B14" s="21"/>
      <c r="C14" s="24" t="s">
        <v>191</v>
      </c>
      <c r="D14" s="25"/>
      <c r="E14" s="26"/>
      <c r="F14" s="25"/>
      <c r="G14" s="21"/>
      <c r="H14" s="106" t="s">
        <v>13</v>
      </c>
      <c r="I14" s="73">
        <f>+I13</f>
        <v>29992500000</v>
      </c>
    </row>
    <row r="15" spans="2:17" x14ac:dyDescent="0.25">
      <c r="B15" s="21"/>
      <c r="C15" s="24" t="s">
        <v>118</v>
      </c>
      <c r="D15" s="25"/>
      <c r="E15" s="26"/>
      <c r="F15" s="25"/>
      <c r="G15" s="21"/>
      <c r="H15" s="106"/>
      <c r="I15" s="73">
        <f>+I14+I11</f>
        <v>43246950000</v>
      </c>
    </row>
    <row r="16" spans="2:17" x14ac:dyDescent="0.25">
      <c r="B16" s="13"/>
      <c r="C16" s="58" t="s">
        <v>122</v>
      </c>
      <c r="D16" s="59"/>
      <c r="E16" s="20"/>
      <c r="G16" s="13"/>
      <c r="I16" s="13"/>
    </row>
    <row r="17" spans="2:12" x14ac:dyDescent="0.25">
      <c r="B17" s="11" t="s">
        <v>23</v>
      </c>
      <c r="C17" s="24" t="s">
        <v>112</v>
      </c>
      <c r="D17" s="25"/>
      <c r="E17" s="26"/>
      <c r="F17" s="25"/>
      <c r="G17" s="21"/>
      <c r="H17" s="25"/>
      <c r="I17" s="21"/>
    </row>
    <row r="18" spans="2:12" x14ac:dyDescent="0.25">
      <c r="B18" s="23"/>
      <c r="C18" s="18" t="s">
        <v>41</v>
      </c>
      <c r="D18" s="19" t="s">
        <v>54</v>
      </c>
      <c r="E18" s="20"/>
      <c r="F18">
        <f>+'Tabel Lampiran 3'!F27</f>
        <v>70</v>
      </c>
      <c r="G18" s="74" t="s">
        <v>192</v>
      </c>
      <c r="H18" s="107">
        <f>+I11</f>
        <v>13254450000</v>
      </c>
      <c r="I18" s="73">
        <f>+F18/100*H18</f>
        <v>9278115000</v>
      </c>
      <c r="L18" s="107" t="s">
        <v>13</v>
      </c>
    </row>
    <row r="19" spans="2:12" x14ac:dyDescent="0.25">
      <c r="B19" s="11"/>
      <c r="C19" s="24" t="s">
        <v>45</v>
      </c>
      <c r="D19" s="25" t="s">
        <v>119</v>
      </c>
      <c r="E19" s="26"/>
      <c r="F19" s="25">
        <f>+'Tabel Lampiran 3'!F28</f>
        <v>30</v>
      </c>
      <c r="G19" s="74" t="s">
        <v>192</v>
      </c>
      <c r="H19" s="106">
        <f>+I11</f>
        <v>13254450000</v>
      </c>
      <c r="I19" s="73">
        <f>+F19/100*H19</f>
        <v>3976335000</v>
      </c>
    </row>
    <row r="20" spans="2:12" x14ac:dyDescent="0.25">
      <c r="B20" s="23"/>
      <c r="C20" s="18" t="s">
        <v>120</v>
      </c>
      <c r="D20" s="19"/>
      <c r="E20" s="20"/>
      <c r="G20" s="13"/>
      <c r="H20" s="107"/>
      <c r="I20" s="108">
        <f>SUM(I18:I19)</f>
        <v>13254450000</v>
      </c>
    </row>
    <row r="21" spans="2:12" x14ac:dyDescent="0.25">
      <c r="B21" s="57" t="s">
        <v>26</v>
      </c>
      <c r="C21" s="24" t="s">
        <v>117</v>
      </c>
      <c r="D21" s="25"/>
      <c r="E21" s="26"/>
      <c r="F21" s="25"/>
      <c r="G21" s="21"/>
      <c r="H21" s="25"/>
      <c r="I21" s="21"/>
    </row>
    <row r="22" spans="2:12" x14ac:dyDescent="0.25">
      <c r="B22" s="13"/>
      <c r="C22" s="18" t="s">
        <v>41</v>
      </c>
      <c r="D22" s="19" t="s">
        <v>54</v>
      </c>
      <c r="E22" s="20"/>
      <c r="F22">
        <f>+'Tabel Lampiran 3'!F30</f>
        <v>70</v>
      </c>
      <c r="G22" s="74" t="s">
        <v>192</v>
      </c>
      <c r="H22" s="107">
        <f>+H13</f>
        <v>29992500000</v>
      </c>
      <c r="I22" s="73">
        <f t="shared" ref="I22:I23" si="0">+F22/100*H22</f>
        <v>20994750000</v>
      </c>
    </row>
    <row r="23" spans="2:12" x14ac:dyDescent="0.25">
      <c r="B23" s="21"/>
      <c r="C23" s="24" t="s">
        <v>45</v>
      </c>
      <c r="D23" s="25" t="s">
        <v>119</v>
      </c>
      <c r="E23" s="26"/>
      <c r="F23" s="25">
        <f>+'Tabel Lampiran 3'!F31</f>
        <v>30</v>
      </c>
      <c r="G23" s="74" t="s">
        <v>192</v>
      </c>
      <c r="H23" s="106">
        <f>+H13</f>
        <v>29992500000</v>
      </c>
      <c r="I23" s="73">
        <f t="shared" si="0"/>
        <v>8997750000</v>
      </c>
    </row>
    <row r="24" spans="2:12" x14ac:dyDescent="0.25">
      <c r="B24" s="21"/>
      <c r="C24" s="24" t="s">
        <v>121</v>
      </c>
      <c r="D24" s="25"/>
      <c r="E24" s="26"/>
      <c r="F24" s="25"/>
      <c r="G24" s="21"/>
      <c r="H24" s="106" t="s">
        <v>13</v>
      </c>
      <c r="I24" s="73">
        <f>SUM(I22:I23)</f>
        <v>29992500000</v>
      </c>
    </row>
    <row r="27" spans="2:12" x14ac:dyDescent="0.25">
      <c r="I27" s="107" t="s">
        <v>13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2"/>
  <sheetViews>
    <sheetView topLeftCell="A13" workbookViewId="0">
      <selection activeCell="B1" sqref="B1:B2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6.140625" customWidth="1"/>
    <col min="7" max="7" width="16.42578125" customWidth="1"/>
    <col min="8" max="8" width="16.28515625" customWidth="1"/>
    <col min="9" max="9" width="16" customWidth="1"/>
    <col min="10" max="10" width="16.140625" customWidth="1"/>
    <col min="11" max="11" width="15.5703125" customWidth="1"/>
  </cols>
  <sheetData>
    <row r="1" spans="2:16" x14ac:dyDescent="0.25">
      <c r="B1" s="4" t="s">
        <v>123</v>
      </c>
      <c r="C1" s="4"/>
      <c r="D1" s="4"/>
      <c r="E1" s="33" t="s">
        <v>13</v>
      </c>
    </row>
    <row r="2" spans="2:16" x14ac:dyDescent="0.25">
      <c r="B2" s="1" t="s">
        <v>1</v>
      </c>
      <c r="C2" s="1"/>
      <c r="D2" s="1"/>
      <c r="E2" s="33" t="s">
        <v>12</v>
      </c>
      <c r="F2" t="s">
        <v>206</v>
      </c>
    </row>
    <row r="3" spans="2:16" x14ac:dyDescent="0.25">
      <c r="B3" s="1" t="s">
        <v>2</v>
      </c>
      <c r="C3" s="1"/>
      <c r="D3" s="1"/>
      <c r="E3" s="33" t="s">
        <v>12</v>
      </c>
      <c r="F3" t="s">
        <v>226</v>
      </c>
    </row>
    <row r="4" spans="2:16" x14ac:dyDescent="0.25">
      <c r="B4" t="s">
        <v>224</v>
      </c>
      <c r="C4" s="4"/>
      <c r="E4" s="33" t="s">
        <v>12</v>
      </c>
      <c r="F4" t="s">
        <v>225</v>
      </c>
    </row>
    <row r="5" spans="2:16" x14ac:dyDescent="0.25">
      <c r="C5" s="4"/>
    </row>
    <row r="6" spans="2:16" x14ac:dyDescent="0.25">
      <c r="B6" s="46" t="s">
        <v>201</v>
      </c>
      <c r="C6" s="114"/>
      <c r="D6" s="114"/>
      <c r="E6" s="114"/>
      <c r="F6" s="114"/>
      <c r="G6" s="114"/>
      <c r="H6" s="114"/>
      <c r="I6" s="114"/>
      <c r="J6" s="114"/>
    </row>
    <row r="7" spans="2:16" x14ac:dyDescent="0.25">
      <c r="B7" s="32" t="s">
        <v>109</v>
      </c>
      <c r="C7" s="171" t="s">
        <v>20</v>
      </c>
      <c r="D7" s="172"/>
      <c r="E7" s="175"/>
      <c r="F7" s="66" t="s">
        <v>124</v>
      </c>
      <c r="G7" s="32" t="s">
        <v>125</v>
      </c>
      <c r="H7" s="66" t="s">
        <v>126</v>
      </c>
      <c r="I7" s="32" t="s">
        <v>127</v>
      </c>
      <c r="J7" s="32" t="s">
        <v>128</v>
      </c>
    </row>
    <row r="8" spans="2:16" x14ac:dyDescent="0.25">
      <c r="B8" s="57" t="s">
        <v>23</v>
      </c>
      <c r="C8" s="25" t="s">
        <v>199</v>
      </c>
      <c r="D8" s="25"/>
      <c r="E8" s="26"/>
      <c r="F8" s="73">
        <f>+'Tabel Lampiran 6'!I18</f>
        <v>9278115000</v>
      </c>
      <c r="G8" s="73">
        <f>+F8-G9</f>
        <v>7422492000</v>
      </c>
      <c r="H8" s="73">
        <f>+G8-H9</f>
        <v>5566869000</v>
      </c>
      <c r="I8" s="73">
        <f>+H8-I9</f>
        <v>3711246000</v>
      </c>
      <c r="J8" s="73">
        <f>+I8-J9</f>
        <v>1855623000</v>
      </c>
      <c r="P8" t="s">
        <v>13</v>
      </c>
    </row>
    <row r="9" spans="2:16" x14ac:dyDescent="0.25">
      <c r="B9" s="21"/>
      <c r="C9" s="25" t="s">
        <v>41</v>
      </c>
      <c r="D9" s="25" t="s">
        <v>194</v>
      </c>
      <c r="E9" s="26"/>
      <c r="F9" s="70">
        <f>+F8/'Tabel Lampiran 3'!F32</f>
        <v>1855623000</v>
      </c>
      <c r="G9" s="70">
        <f>+F9</f>
        <v>1855623000</v>
      </c>
      <c r="H9" s="70">
        <f>+G9</f>
        <v>1855623000</v>
      </c>
      <c r="I9" s="70">
        <f>+H9</f>
        <v>1855623000</v>
      </c>
      <c r="J9" s="70">
        <f>+I9</f>
        <v>1855623000</v>
      </c>
    </row>
    <row r="10" spans="2:16" x14ac:dyDescent="0.25">
      <c r="B10" s="21"/>
      <c r="C10" s="25" t="s">
        <v>45</v>
      </c>
      <c r="D10" s="25" t="s">
        <v>195</v>
      </c>
      <c r="E10" s="26"/>
      <c r="F10" s="70">
        <f>+'Tabel Lampiran 3'!F24/100*'Tabel Lampiran 7'!F8</f>
        <v>927811500</v>
      </c>
      <c r="G10" s="70">
        <f>+'Tabel Lampiran 3'!F24/100*'Tabel Lampiran 7'!G8</f>
        <v>742249200</v>
      </c>
      <c r="H10" s="70">
        <f>+'Tabel Lampiran 3'!F24/100*'Tabel Lampiran 7'!H8</f>
        <v>556686900</v>
      </c>
      <c r="I10" s="70">
        <f>+'Tabel Lampiran 3'!F25/100*'Tabel Lampiran 7'!I8</f>
        <v>371124600</v>
      </c>
      <c r="J10" s="70">
        <f>+'Tabel Lampiran 3'!F24/100*'Tabel Lampiran 7'!J8</f>
        <v>185562300</v>
      </c>
      <c r="L10">
        <v>10</v>
      </c>
    </row>
    <row r="11" spans="2:16" x14ac:dyDescent="0.25">
      <c r="B11" s="11" t="s">
        <v>26</v>
      </c>
      <c r="C11" s="25" t="s">
        <v>200</v>
      </c>
      <c r="D11" s="25"/>
      <c r="E11" s="26"/>
      <c r="F11" s="70">
        <f>+'Tabel Lampiran 6'!I22</f>
        <v>20994750000</v>
      </c>
      <c r="G11" s="70">
        <f>+F11-F12</f>
        <v>16795800000</v>
      </c>
      <c r="H11" s="70">
        <f>+G11-G12</f>
        <v>12596850000</v>
      </c>
      <c r="I11" s="70">
        <f>+H11-H12</f>
        <v>8397900000</v>
      </c>
      <c r="J11" s="70">
        <f>+I11-I12</f>
        <v>4198950000</v>
      </c>
    </row>
    <row r="12" spans="2:16" x14ac:dyDescent="0.25">
      <c r="B12" s="21"/>
      <c r="C12" s="65" t="s">
        <v>41</v>
      </c>
      <c r="D12" s="25" t="s">
        <v>194</v>
      </c>
      <c r="E12" s="26"/>
      <c r="F12" s="70">
        <f>+F11/'Tabel Lampiran 3'!F33</f>
        <v>4198950000</v>
      </c>
      <c r="G12" s="70">
        <f>+F12</f>
        <v>4198950000</v>
      </c>
      <c r="H12" s="70">
        <f>+G12</f>
        <v>4198950000</v>
      </c>
      <c r="I12" s="70">
        <f>+H12</f>
        <v>4198950000</v>
      </c>
      <c r="J12" s="70">
        <f>+I12</f>
        <v>4198950000</v>
      </c>
    </row>
    <row r="13" spans="2:16" x14ac:dyDescent="0.25">
      <c r="B13" s="14"/>
      <c r="C13" s="114" t="s">
        <v>45</v>
      </c>
      <c r="D13" s="114" t="s">
        <v>195</v>
      </c>
      <c r="E13" s="34"/>
      <c r="F13" s="70">
        <f>+'Tabel Lampiran 3'!F24/100*'Tabel Lampiran 7'!F11</f>
        <v>2099475000</v>
      </c>
      <c r="G13" s="70">
        <f>+'Tabel Lampiran 3'!F24/100*'Tabel Lampiran 7'!G11</f>
        <v>1679580000</v>
      </c>
      <c r="H13" s="70">
        <f>+'Tabel Lampiran 3'!F24/100*'Tabel Lampiran 7'!H11</f>
        <v>1259685000</v>
      </c>
      <c r="I13" s="70">
        <f>+'Tabel Lampiran 3'!F24/100*'Tabel Lampiran 7'!I11</f>
        <v>839790000</v>
      </c>
      <c r="J13" s="70">
        <f>+'Tabel Lampiran 3'!F24/100*'Tabel Lampiran 7'!J11</f>
        <v>419895000</v>
      </c>
    </row>
    <row r="14" spans="2:16" x14ac:dyDescent="0.25">
      <c r="B14" s="11">
        <v>3</v>
      </c>
      <c r="C14" s="25" t="s">
        <v>196</v>
      </c>
      <c r="D14" s="25"/>
      <c r="E14" s="25"/>
      <c r="F14" s="70"/>
      <c r="G14" s="70"/>
      <c r="H14" s="70"/>
      <c r="I14" s="70"/>
      <c r="J14" s="70"/>
    </row>
    <row r="15" spans="2:16" x14ac:dyDescent="0.25">
      <c r="B15" s="21"/>
      <c r="C15" s="65" t="s">
        <v>41</v>
      </c>
      <c r="D15" s="25" t="s">
        <v>197</v>
      </c>
      <c r="E15" s="25"/>
      <c r="F15" s="70">
        <f t="shared" ref="F15:J16" si="0">+F9+F12</f>
        <v>6054573000</v>
      </c>
      <c r="G15" s="70">
        <f t="shared" si="0"/>
        <v>6054573000</v>
      </c>
      <c r="H15" s="70">
        <f t="shared" si="0"/>
        <v>6054573000</v>
      </c>
      <c r="I15" s="70">
        <f t="shared" si="0"/>
        <v>6054573000</v>
      </c>
      <c r="J15" s="70">
        <f t="shared" si="0"/>
        <v>6054573000</v>
      </c>
    </row>
    <row r="16" spans="2:16" x14ac:dyDescent="0.25">
      <c r="B16" s="21"/>
      <c r="C16" s="114" t="s">
        <v>45</v>
      </c>
      <c r="D16" s="25" t="s">
        <v>198</v>
      </c>
      <c r="E16" s="25"/>
      <c r="F16" s="70">
        <f t="shared" si="0"/>
        <v>3027286500</v>
      </c>
      <c r="G16" s="70">
        <f t="shared" si="0"/>
        <v>2421829200</v>
      </c>
      <c r="H16" s="70">
        <f t="shared" si="0"/>
        <v>1816371900</v>
      </c>
      <c r="I16" s="70">
        <f t="shared" si="0"/>
        <v>1210914600</v>
      </c>
      <c r="J16" s="70">
        <f t="shared" si="0"/>
        <v>605457300</v>
      </c>
    </row>
    <row r="18" spans="2:10" x14ac:dyDescent="0.25">
      <c r="B18" s="4" t="s">
        <v>123</v>
      </c>
      <c r="C18" s="4"/>
      <c r="D18" s="4"/>
    </row>
    <row r="19" spans="2:10" x14ac:dyDescent="0.25">
      <c r="B19" s="32" t="s">
        <v>109</v>
      </c>
      <c r="C19" s="171" t="s">
        <v>20</v>
      </c>
      <c r="D19" s="172"/>
      <c r="E19" s="175"/>
      <c r="F19" s="30" t="s">
        <v>124</v>
      </c>
      <c r="G19" s="32" t="s">
        <v>125</v>
      </c>
      <c r="H19" s="30" t="s">
        <v>126</v>
      </c>
      <c r="I19" s="32" t="s">
        <v>127</v>
      </c>
      <c r="J19" s="32" t="s">
        <v>128</v>
      </c>
    </row>
    <row r="20" spans="2:10" x14ac:dyDescent="0.25">
      <c r="B20" s="54" t="s">
        <v>23</v>
      </c>
      <c r="C20" s="53" t="s">
        <v>129</v>
      </c>
      <c r="D20" s="62"/>
      <c r="E20" s="17"/>
      <c r="F20" s="16"/>
      <c r="G20" s="12"/>
      <c r="H20" s="16"/>
      <c r="I20" s="12"/>
      <c r="J20" s="12"/>
    </row>
    <row r="21" spans="2:10" x14ac:dyDescent="0.25">
      <c r="B21" s="11"/>
      <c r="C21" s="24" t="s">
        <v>193</v>
      </c>
      <c r="D21" s="25"/>
      <c r="E21" s="26"/>
      <c r="F21" s="106">
        <f>+'Tabel Lampiran 1'!Q11</f>
        <v>77490000000</v>
      </c>
      <c r="G21" s="73">
        <f>+F21</f>
        <v>77490000000</v>
      </c>
      <c r="H21" s="106">
        <f>+G21</f>
        <v>77490000000</v>
      </c>
      <c r="I21" s="73">
        <f>+H21</f>
        <v>77490000000</v>
      </c>
      <c r="J21" s="73">
        <f>+I21</f>
        <v>77490000000</v>
      </c>
    </row>
    <row r="22" spans="2:10" x14ac:dyDescent="0.25">
      <c r="B22" s="55" t="s">
        <v>26</v>
      </c>
      <c r="C22" s="18" t="s">
        <v>130</v>
      </c>
      <c r="D22" s="19"/>
      <c r="E22" s="20"/>
      <c r="F22" s="19"/>
      <c r="G22" s="13"/>
      <c r="H22" s="19"/>
      <c r="I22" s="13"/>
      <c r="J22" s="13"/>
    </row>
    <row r="23" spans="2:10" x14ac:dyDescent="0.25">
      <c r="B23" s="11"/>
      <c r="C23" s="24" t="s">
        <v>113</v>
      </c>
      <c r="D23" s="25" t="s">
        <v>132</v>
      </c>
      <c r="E23" s="26"/>
      <c r="F23" s="106">
        <f>+'Tabel Lampiran 5'!K31</f>
        <v>51528750000</v>
      </c>
      <c r="G23" s="73">
        <f t="shared" ref="G23:J25" si="1">+F23</f>
        <v>51528750000</v>
      </c>
      <c r="H23" s="106">
        <f t="shared" si="1"/>
        <v>51528750000</v>
      </c>
      <c r="I23" s="73">
        <f t="shared" si="1"/>
        <v>51528750000</v>
      </c>
      <c r="J23" s="73">
        <f t="shared" si="1"/>
        <v>51528750000</v>
      </c>
    </row>
    <row r="24" spans="2:10" x14ac:dyDescent="0.25">
      <c r="B24" s="23"/>
      <c r="C24" s="18" t="s">
        <v>45</v>
      </c>
      <c r="D24" s="19" t="s">
        <v>133</v>
      </c>
      <c r="E24" s="20"/>
      <c r="F24" s="109">
        <f>+'Tabel Lampiran 5'!K41</f>
        <v>313600000</v>
      </c>
      <c r="G24" s="108">
        <f t="shared" si="1"/>
        <v>313600000</v>
      </c>
      <c r="H24" s="109">
        <f t="shared" si="1"/>
        <v>313600000</v>
      </c>
      <c r="I24" s="108">
        <f t="shared" si="1"/>
        <v>313600000</v>
      </c>
      <c r="J24" s="108">
        <f t="shared" si="1"/>
        <v>313600000</v>
      </c>
    </row>
    <row r="25" spans="2:10" x14ac:dyDescent="0.25">
      <c r="B25" s="11"/>
      <c r="C25" s="24" t="s">
        <v>46</v>
      </c>
      <c r="D25" s="25" t="s">
        <v>104</v>
      </c>
      <c r="E25" s="26"/>
      <c r="F25" s="106">
        <f>+'Tabel Lampiran 4'!J27</f>
        <v>5656125000</v>
      </c>
      <c r="G25" s="73">
        <f t="shared" si="1"/>
        <v>5656125000</v>
      </c>
      <c r="H25" s="106">
        <f t="shared" si="1"/>
        <v>5656125000</v>
      </c>
      <c r="I25" s="73">
        <f t="shared" si="1"/>
        <v>5656125000</v>
      </c>
      <c r="J25" s="73">
        <f t="shared" si="1"/>
        <v>5656125000</v>
      </c>
    </row>
    <row r="26" spans="2:10" x14ac:dyDescent="0.25">
      <c r="B26" s="23"/>
      <c r="C26" s="18" t="s">
        <v>93</v>
      </c>
      <c r="D26" s="56" t="s">
        <v>131</v>
      </c>
      <c r="E26" s="20"/>
      <c r="F26" s="73">
        <f>+F16</f>
        <v>3027286500</v>
      </c>
      <c r="G26" s="73">
        <f>+G16</f>
        <v>2421829200</v>
      </c>
      <c r="H26" s="73">
        <f>+H16</f>
        <v>1816371900</v>
      </c>
      <c r="I26" s="73">
        <f>+I16</f>
        <v>1210914600</v>
      </c>
      <c r="J26" s="73">
        <f>+J16</f>
        <v>605457300</v>
      </c>
    </row>
    <row r="27" spans="2:10" x14ac:dyDescent="0.25">
      <c r="B27" s="11"/>
      <c r="C27" s="24" t="s">
        <v>134</v>
      </c>
      <c r="D27" s="25"/>
      <c r="E27" s="26"/>
      <c r="F27" s="73">
        <f>SUM(F23:F26)</f>
        <v>60525761500</v>
      </c>
      <c r="G27" s="73">
        <f t="shared" ref="G27:J27" si="2">SUM(G23:G26)</f>
        <v>59920304200</v>
      </c>
      <c r="H27" s="73">
        <f t="shared" si="2"/>
        <v>59314846900</v>
      </c>
      <c r="I27" s="73">
        <f t="shared" si="2"/>
        <v>58709389600</v>
      </c>
      <c r="J27" s="73">
        <f t="shared" si="2"/>
        <v>58103932300</v>
      </c>
    </row>
    <row r="28" spans="2:10" x14ac:dyDescent="0.25">
      <c r="B28" s="23" t="s">
        <v>28</v>
      </c>
      <c r="C28" s="18" t="s">
        <v>135</v>
      </c>
      <c r="D28" s="19"/>
      <c r="E28" s="20"/>
      <c r="F28" s="73">
        <f>+F21-F27</f>
        <v>16964238500</v>
      </c>
      <c r="G28" s="73">
        <f t="shared" ref="G28:J28" si="3">+G21-G27</f>
        <v>17569695800</v>
      </c>
      <c r="H28" s="73">
        <f t="shared" si="3"/>
        <v>18175153100</v>
      </c>
      <c r="I28" s="73">
        <f t="shared" si="3"/>
        <v>18780610400</v>
      </c>
      <c r="J28" s="73">
        <f t="shared" si="3"/>
        <v>19386067700</v>
      </c>
    </row>
    <row r="29" spans="2:10" x14ac:dyDescent="0.25">
      <c r="B29" s="57" t="s">
        <v>32</v>
      </c>
      <c r="C29" s="24" t="s">
        <v>228</v>
      </c>
      <c r="D29" s="25"/>
      <c r="E29" s="26"/>
      <c r="F29" s="115">
        <f>0.1*F28</f>
        <v>1696423850</v>
      </c>
      <c r="G29" s="115">
        <f t="shared" ref="G29:J29" si="4">0.1*G28</f>
        <v>1756969580</v>
      </c>
      <c r="H29" s="115">
        <f t="shared" si="4"/>
        <v>1817515310</v>
      </c>
      <c r="I29" s="115">
        <f t="shared" si="4"/>
        <v>1878061040</v>
      </c>
      <c r="J29" s="115">
        <f t="shared" si="4"/>
        <v>1938606770</v>
      </c>
    </row>
    <row r="30" spans="2:10" x14ac:dyDescent="0.25">
      <c r="B30" s="11" t="s">
        <v>33</v>
      </c>
      <c r="C30" s="24" t="s">
        <v>136</v>
      </c>
      <c r="D30" s="25"/>
      <c r="E30" s="26"/>
      <c r="F30" s="73">
        <f>+F28-F29</f>
        <v>15267814650</v>
      </c>
      <c r="G30" s="73">
        <f t="shared" ref="G30:J30" si="5">+G28-G29</f>
        <v>15812726220</v>
      </c>
      <c r="H30" s="73">
        <f t="shared" si="5"/>
        <v>16357637790</v>
      </c>
      <c r="I30" s="73">
        <f t="shared" si="5"/>
        <v>16902549360</v>
      </c>
      <c r="J30" s="73">
        <f t="shared" si="5"/>
        <v>17447460930</v>
      </c>
    </row>
    <row r="31" spans="2:10" x14ac:dyDescent="0.25">
      <c r="B31" s="57" t="s">
        <v>35</v>
      </c>
      <c r="C31" s="24" t="s">
        <v>137</v>
      </c>
      <c r="D31" s="25"/>
      <c r="E31" s="26"/>
      <c r="F31" s="116">
        <f>+F30/F21*100</f>
        <v>19.70294831591173</v>
      </c>
      <c r="G31" s="116">
        <f t="shared" ref="G31:J31" si="6">+G30/G21*100</f>
        <v>20.406150754936121</v>
      </c>
      <c r="H31" s="116">
        <f t="shared" si="6"/>
        <v>21.109353193960512</v>
      </c>
      <c r="I31" s="116">
        <f t="shared" si="6"/>
        <v>21.8125556329849</v>
      </c>
      <c r="J31" s="116">
        <f t="shared" si="6"/>
        <v>22.515758072009291</v>
      </c>
    </row>
    <row r="32" spans="2:10" x14ac:dyDescent="0.25">
      <c r="B32" t="s">
        <v>13</v>
      </c>
    </row>
  </sheetData>
  <mergeCells count="2">
    <mergeCell ref="C19:E19"/>
    <mergeCell ref="C7:E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41"/>
  <sheetViews>
    <sheetView tabSelected="1" workbookViewId="0">
      <selection activeCell="I37" sqref="I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6.42578125" customWidth="1"/>
    <col min="8" max="8" width="16.7109375" customWidth="1"/>
    <col min="9" max="9" width="15.85546875" customWidth="1"/>
    <col min="10" max="10" width="16.140625" customWidth="1"/>
    <col min="11" max="11" width="16.5703125" customWidth="1"/>
    <col min="12" max="12" width="14.85546875" customWidth="1"/>
  </cols>
  <sheetData>
    <row r="1" spans="2:12" x14ac:dyDescent="0.25">
      <c r="B1" s="4" t="s">
        <v>138</v>
      </c>
      <c r="C1" s="4"/>
      <c r="D1" s="4"/>
      <c r="E1" s="4"/>
      <c r="F1" s="33" t="s">
        <v>13</v>
      </c>
    </row>
    <row r="2" spans="2:12" x14ac:dyDescent="0.25">
      <c r="B2" s="1" t="s">
        <v>1</v>
      </c>
      <c r="C2" s="1"/>
      <c r="D2" s="1"/>
      <c r="E2" s="1"/>
      <c r="F2" s="33" t="s">
        <v>12</v>
      </c>
      <c r="G2" t="s">
        <v>206</v>
      </c>
    </row>
    <row r="3" spans="2:12" x14ac:dyDescent="0.25">
      <c r="B3" s="1" t="s">
        <v>2</v>
      </c>
      <c r="C3" s="1"/>
      <c r="D3" s="1"/>
      <c r="E3" s="1"/>
      <c r="F3" s="33" t="s">
        <v>12</v>
      </c>
      <c r="G3" t="s">
        <v>226</v>
      </c>
    </row>
    <row r="4" spans="2:12" x14ac:dyDescent="0.25">
      <c r="B4" t="s">
        <v>224</v>
      </c>
      <c r="C4" s="4"/>
      <c r="E4" s="4"/>
      <c r="F4" s="33" t="s">
        <v>12</v>
      </c>
      <c r="G4" t="s">
        <v>225</v>
      </c>
    </row>
    <row r="6" spans="2:12" x14ac:dyDescent="0.25">
      <c r="B6" s="4" t="s">
        <v>138</v>
      </c>
      <c r="C6" s="4"/>
      <c r="D6" s="4"/>
      <c r="E6" s="4"/>
    </row>
    <row r="7" spans="2:12" x14ac:dyDescent="0.25">
      <c r="B7" s="32" t="s">
        <v>109</v>
      </c>
      <c r="C7" s="171" t="s">
        <v>20</v>
      </c>
      <c r="D7" s="172"/>
      <c r="E7" s="172"/>
      <c r="F7" s="175"/>
      <c r="G7" s="30" t="s">
        <v>141</v>
      </c>
      <c r="H7" s="32" t="s">
        <v>124</v>
      </c>
      <c r="I7" s="32" t="s">
        <v>125</v>
      </c>
      <c r="J7" s="30" t="s">
        <v>126</v>
      </c>
      <c r="K7" s="32" t="s">
        <v>127</v>
      </c>
      <c r="L7" s="32" t="s">
        <v>128</v>
      </c>
    </row>
    <row r="8" spans="2:12" x14ac:dyDescent="0.25">
      <c r="B8" s="121" t="s">
        <v>23</v>
      </c>
      <c r="C8" s="60" t="s">
        <v>139</v>
      </c>
      <c r="D8" s="122"/>
      <c r="E8" s="61"/>
      <c r="F8" s="17"/>
      <c r="G8" s="16"/>
      <c r="H8" s="12"/>
      <c r="I8" s="12"/>
      <c r="J8" s="16"/>
      <c r="K8" s="12"/>
      <c r="L8" s="12"/>
    </row>
    <row r="9" spans="2:12" x14ac:dyDescent="0.25">
      <c r="B9" s="54"/>
      <c r="C9" s="24" t="s">
        <v>41</v>
      </c>
      <c r="D9" s="38" t="s">
        <v>140</v>
      </c>
      <c r="E9" s="25"/>
      <c r="F9" s="17"/>
      <c r="G9" s="16">
        <v>0</v>
      </c>
      <c r="H9" s="117">
        <f>+'Tabel Lampiran 7'!F21</f>
        <v>77490000000</v>
      </c>
      <c r="I9" s="117">
        <f>+'Tabel Lampiran 7'!G21</f>
        <v>77490000000</v>
      </c>
      <c r="J9" s="117">
        <f>+'Tabel Lampiran 7'!H21</f>
        <v>77490000000</v>
      </c>
      <c r="K9" s="117">
        <f>+'Tabel Lampiran 7'!I21</f>
        <v>77490000000</v>
      </c>
      <c r="L9" s="117">
        <f>+'Tabel Lampiran 7'!J21</f>
        <v>77490000000</v>
      </c>
    </row>
    <row r="10" spans="2:12" x14ac:dyDescent="0.25">
      <c r="B10" s="11"/>
      <c r="C10" s="24" t="s">
        <v>45</v>
      </c>
      <c r="D10" s="25" t="s">
        <v>202</v>
      </c>
      <c r="E10" s="25"/>
      <c r="F10" s="26"/>
      <c r="G10" s="25"/>
      <c r="H10" s="21"/>
      <c r="I10" s="21"/>
      <c r="J10" s="25"/>
      <c r="K10" s="21"/>
      <c r="L10" s="21"/>
    </row>
    <row r="11" spans="2:12" x14ac:dyDescent="0.25">
      <c r="B11" s="23"/>
      <c r="C11" s="18"/>
      <c r="D11" s="37" t="s">
        <v>23</v>
      </c>
      <c r="E11" s="19" t="s">
        <v>117</v>
      </c>
      <c r="F11" s="20"/>
      <c r="G11" s="109">
        <f>+'Tabel Lampiran 7'!F11</f>
        <v>20994750000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2:12" x14ac:dyDescent="0.25">
      <c r="B12" s="11"/>
      <c r="C12" s="24"/>
      <c r="D12" s="38" t="s">
        <v>26</v>
      </c>
      <c r="E12" s="25" t="s">
        <v>112</v>
      </c>
      <c r="F12" s="26"/>
      <c r="G12" s="106">
        <f>+'Tabel Lampiran 7'!F8</f>
        <v>9278115000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23"/>
      <c r="C13" s="18" t="s">
        <v>46</v>
      </c>
      <c r="D13" s="64" t="s">
        <v>203</v>
      </c>
      <c r="E13" s="19"/>
      <c r="F13" s="20"/>
      <c r="G13" s="19"/>
      <c r="H13" s="13"/>
      <c r="I13" s="13"/>
      <c r="J13" s="19"/>
      <c r="K13" s="13"/>
      <c r="L13" s="13"/>
    </row>
    <row r="14" spans="2:12" x14ac:dyDescent="0.25">
      <c r="B14" s="11"/>
      <c r="C14" s="24"/>
      <c r="D14" s="38" t="s">
        <v>23</v>
      </c>
      <c r="E14" s="25" t="s">
        <v>117</v>
      </c>
      <c r="F14" s="26"/>
      <c r="G14" s="106">
        <f>+'Tabel Lampiran 6'!I19</f>
        <v>3976335000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</row>
    <row r="15" spans="2:12" x14ac:dyDescent="0.25">
      <c r="B15" s="11"/>
      <c r="C15" s="24"/>
      <c r="D15" s="38" t="s">
        <v>26</v>
      </c>
      <c r="E15" s="25" t="s">
        <v>112</v>
      </c>
      <c r="F15" s="26"/>
      <c r="G15" s="73">
        <f>+'Tabel Lampiran 6'!I19</f>
        <v>3976335000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23"/>
      <c r="C16" s="18" t="s">
        <v>87</v>
      </c>
      <c r="D16" s="64" t="s">
        <v>142</v>
      </c>
      <c r="E16" s="19"/>
      <c r="F16" s="20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11"/>
      <c r="C17" s="24" t="s">
        <v>143</v>
      </c>
      <c r="D17" s="38"/>
      <c r="E17" s="25"/>
      <c r="F17" s="26"/>
      <c r="G17" s="70">
        <f>SUM(G9:G16)</f>
        <v>38225535000</v>
      </c>
      <c r="H17" s="70">
        <f t="shared" ref="H17:L17" si="0">SUM(H9:H16)</f>
        <v>77490000000</v>
      </c>
      <c r="I17" s="70">
        <f t="shared" si="0"/>
        <v>77490000000</v>
      </c>
      <c r="J17" s="70">
        <f t="shared" si="0"/>
        <v>77490000000</v>
      </c>
      <c r="K17" s="70">
        <f t="shared" si="0"/>
        <v>77490000000</v>
      </c>
      <c r="L17" s="70">
        <f t="shared" si="0"/>
        <v>77490000000</v>
      </c>
    </row>
    <row r="18" spans="2:12" x14ac:dyDescent="0.25">
      <c r="B18" s="11"/>
      <c r="C18" s="24" t="s">
        <v>144</v>
      </c>
      <c r="D18" s="38"/>
      <c r="E18" s="25"/>
      <c r="F18" s="26"/>
      <c r="G18" s="25">
        <v>0</v>
      </c>
      <c r="H18" s="73">
        <f>+H17</f>
        <v>77490000000</v>
      </c>
      <c r="I18" s="73">
        <f t="shared" ref="I18:L18" si="1">+I17</f>
        <v>77490000000</v>
      </c>
      <c r="J18" s="73">
        <f t="shared" si="1"/>
        <v>77490000000</v>
      </c>
      <c r="K18" s="73">
        <f t="shared" si="1"/>
        <v>77490000000</v>
      </c>
      <c r="L18" s="73">
        <f t="shared" si="1"/>
        <v>77490000000</v>
      </c>
    </row>
    <row r="19" spans="2:12" x14ac:dyDescent="0.25">
      <c r="B19" s="123" t="s">
        <v>26</v>
      </c>
      <c r="C19" s="58" t="s">
        <v>145</v>
      </c>
      <c r="D19" s="59"/>
      <c r="E19" s="59"/>
      <c r="F19" s="20"/>
      <c r="G19" s="19"/>
      <c r="H19" s="13"/>
      <c r="I19" s="13"/>
      <c r="J19" s="19"/>
      <c r="K19" s="13"/>
      <c r="L19" s="13"/>
    </row>
    <row r="20" spans="2:12" x14ac:dyDescent="0.25">
      <c r="B20" s="11"/>
      <c r="C20" s="24" t="s">
        <v>113</v>
      </c>
      <c r="D20" s="25" t="s">
        <v>117</v>
      </c>
      <c r="E20" s="25"/>
      <c r="F20" s="26"/>
      <c r="G20" s="106">
        <f>+'Tabel Lampiran 4'!H27</f>
        <v>29992500000</v>
      </c>
      <c r="H20" s="21"/>
      <c r="I20" s="21"/>
      <c r="J20" s="25"/>
      <c r="K20" s="21"/>
      <c r="L20" s="21"/>
    </row>
    <row r="21" spans="2:12" x14ac:dyDescent="0.25">
      <c r="B21" s="23"/>
      <c r="C21" s="18" t="s">
        <v>45</v>
      </c>
      <c r="D21" s="19" t="s">
        <v>132</v>
      </c>
      <c r="F21" s="20"/>
      <c r="G21" s="19">
        <v>0</v>
      </c>
      <c r="H21" s="108">
        <f>+'Tabel Lampiran 7'!F23</f>
        <v>51528750000</v>
      </c>
      <c r="I21" s="108">
        <f>+'Tabel Lampiran 7'!G23</f>
        <v>51528750000</v>
      </c>
      <c r="J21" s="108">
        <f>+'Tabel Lampiran 7'!H23</f>
        <v>51528750000</v>
      </c>
      <c r="K21" s="108">
        <f>+'Tabel Lampiran 7'!I23</f>
        <v>51528750000</v>
      </c>
      <c r="L21" s="108">
        <f>+'Tabel Lampiran 7'!J23</f>
        <v>51528750000</v>
      </c>
    </row>
    <row r="22" spans="2:12" x14ac:dyDescent="0.25">
      <c r="B22" s="11"/>
      <c r="C22" s="24" t="s">
        <v>46</v>
      </c>
      <c r="D22" s="25" t="s">
        <v>133</v>
      </c>
      <c r="E22" s="25"/>
      <c r="F22" s="26"/>
      <c r="G22" s="25">
        <v>0</v>
      </c>
      <c r="H22" s="73">
        <f>+'Tabel Lampiran 7'!F24</f>
        <v>313600000</v>
      </c>
      <c r="I22" s="73">
        <f>+'Tabel Lampiran 7'!G24</f>
        <v>313600000</v>
      </c>
      <c r="J22" s="73">
        <f>+'Tabel Lampiran 7'!H24</f>
        <v>313600000</v>
      </c>
      <c r="K22" s="73">
        <f>+'Tabel Lampiran 7'!I24</f>
        <v>313600000</v>
      </c>
      <c r="L22" s="73">
        <f>+'Tabel Lampiran 7'!J24</f>
        <v>313600000</v>
      </c>
    </row>
    <row r="23" spans="2:12" x14ac:dyDescent="0.25">
      <c r="B23" s="23"/>
      <c r="C23" s="18" t="s">
        <v>87</v>
      </c>
      <c r="D23" s="56" t="s">
        <v>146</v>
      </c>
      <c r="F23" s="20"/>
      <c r="G23" s="19">
        <v>0</v>
      </c>
      <c r="H23" s="108">
        <f>+'Tabel Lampiran 7'!F15</f>
        <v>6054573000</v>
      </c>
      <c r="I23" s="108">
        <f>+'Tabel Lampiran 7'!G15</f>
        <v>6054573000</v>
      </c>
      <c r="J23" s="108">
        <f>+'Tabel Lampiran 7'!H15</f>
        <v>6054573000</v>
      </c>
      <c r="K23" s="108">
        <f>+'Tabel Lampiran 7'!I15</f>
        <v>6054573000</v>
      </c>
      <c r="L23" s="108">
        <f>+'Tabel Lampiran 7'!J15</f>
        <v>6054573000</v>
      </c>
    </row>
    <row r="24" spans="2:12" x14ac:dyDescent="0.25">
      <c r="B24" s="11"/>
      <c r="C24" s="24" t="s">
        <v>93</v>
      </c>
      <c r="D24" s="65" t="s">
        <v>147</v>
      </c>
      <c r="E24" s="25"/>
      <c r="F24" s="26"/>
      <c r="G24" s="25">
        <v>0</v>
      </c>
      <c r="H24" s="73">
        <f>+'Tabel Lampiran 7'!F16</f>
        <v>3027286500</v>
      </c>
      <c r="I24" s="73">
        <f>+'Tabel Lampiran 7'!G16</f>
        <v>2421829200</v>
      </c>
      <c r="J24" s="73">
        <f>+'Tabel Lampiran 7'!H16</f>
        <v>1816371900</v>
      </c>
      <c r="K24" s="73">
        <f>+'Tabel Lampiran 7'!I16</f>
        <v>1210914600</v>
      </c>
      <c r="L24" s="73">
        <f>+'Tabel Lampiran 7'!J16</f>
        <v>605457300</v>
      </c>
    </row>
    <row r="25" spans="2:12" x14ac:dyDescent="0.25">
      <c r="B25" s="23"/>
      <c r="C25" s="18" t="s">
        <v>95</v>
      </c>
      <c r="D25" s="56" t="s">
        <v>148</v>
      </c>
      <c r="F25" s="20"/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</row>
    <row r="26" spans="2:12" x14ac:dyDescent="0.25">
      <c r="B26" s="11"/>
      <c r="C26" s="24" t="s">
        <v>97</v>
      </c>
      <c r="D26" s="65" t="s">
        <v>149</v>
      </c>
      <c r="E26" s="25"/>
      <c r="F26" s="26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23"/>
      <c r="C27" s="18" t="s">
        <v>150</v>
      </c>
      <c r="D27" s="56"/>
      <c r="F27" s="20"/>
      <c r="G27" s="73">
        <f>SUM(G20:G26)</f>
        <v>29992500000</v>
      </c>
      <c r="H27" s="73">
        <f t="shared" ref="H27:L27" si="2">SUM(H20:H26)</f>
        <v>60924209500</v>
      </c>
      <c r="I27" s="73">
        <f t="shared" si="2"/>
        <v>60318752200</v>
      </c>
      <c r="J27" s="73">
        <f t="shared" si="2"/>
        <v>59713294900</v>
      </c>
      <c r="K27" s="73">
        <f t="shared" si="2"/>
        <v>59107837600</v>
      </c>
      <c r="L27" s="73">
        <f t="shared" si="2"/>
        <v>58502380300</v>
      </c>
    </row>
    <row r="28" spans="2:12" x14ac:dyDescent="0.25">
      <c r="B28" s="11"/>
      <c r="C28" s="24" t="s">
        <v>204</v>
      </c>
      <c r="D28" s="38"/>
      <c r="E28" s="25"/>
      <c r="F28" s="26"/>
      <c r="G28" s="106">
        <f>+G27</f>
        <v>29992500000</v>
      </c>
      <c r="H28" s="73">
        <f>+H21+H22</f>
        <v>51842350000</v>
      </c>
      <c r="I28" s="73">
        <f t="shared" ref="I28:L28" si="3">+I21+I22</f>
        <v>51842350000</v>
      </c>
      <c r="J28" s="73">
        <f t="shared" si="3"/>
        <v>51842350000</v>
      </c>
      <c r="K28" s="73">
        <f t="shared" si="3"/>
        <v>51842350000</v>
      </c>
      <c r="L28" s="73">
        <f t="shared" si="3"/>
        <v>51842350000</v>
      </c>
    </row>
    <row r="29" spans="2:12" x14ac:dyDescent="0.25">
      <c r="B29" s="11"/>
      <c r="C29" s="35" t="s">
        <v>151</v>
      </c>
      <c r="D29" s="25"/>
      <c r="F29" s="26"/>
      <c r="G29" s="25"/>
      <c r="H29" s="21"/>
      <c r="I29" s="21"/>
      <c r="J29" s="25"/>
      <c r="K29" s="21"/>
      <c r="L29" s="21"/>
    </row>
    <row r="30" spans="2:12" x14ac:dyDescent="0.25">
      <c r="B30" s="124" t="s">
        <v>28</v>
      </c>
      <c r="C30" s="51" t="s">
        <v>152</v>
      </c>
      <c r="D30" s="52"/>
      <c r="E30" s="52"/>
      <c r="F30" s="26"/>
      <c r="G30" s="73">
        <f>+G17-G27</f>
        <v>8233035000</v>
      </c>
      <c r="H30" s="73">
        <f t="shared" ref="H30:L30" si="4">+H17-H27</f>
        <v>16565790500</v>
      </c>
      <c r="I30" s="73">
        <f t="shared" si="4"/>
        <v>17171247800</v>
      </c>
      <c r="J30" s="73">
        <f t="shared" si="4"/>
        <v>17776705100</v>
      </c>
      <c r="K30" s="73">
        <f t="shared" si="4"/>
        <v>18382162400</v>
      </c>
      <c r="L30" s="73">
        <f t="shared" si="4"/>
        <v>18987619700</v>
      </c>
    </row>
    <row r="31" spans="2:12" x14ac:dyDescent="0.25">
      <c r="B31" s="57"/>
      <c r="C31" s="24" t="s">
        <v>153</v>
      </c>
      <c r="D31" s="25"/>
      <c r="E31" s="25"/>
      <c r="F31" s="26"/>
      <c r="G31" s="106">
        <f>+G18-G28</f>
        <v>-29992500000</v>
      </c>
      <c r="H31" s="73">
        <f>+H18-H28</f>
        <v>25647650000</v>
      </c>
      <c r="I31" s="73">
        <f t="shared" ref="I31:L31" si="5">+I18-I28</f>
        <v>25647650000</v>
      </c>
      <c r="J31" s="73">
        <f t="shared" si="5"/>
        <v>25647650000</v>
      </c>
      <c r="K31" s="73">
        <f t="shared" si="5"/>
        <v>25647650000</v>
      </c>
      <c r="L31" s="73">
        <f t="shared" si="5"/>
        <v>25647650000</v>
      </c>
    </row>
    <row r="32" spans="2:12" x14ac:dyDescent="0.25">
      <c r="B32" s="57"/>
      <c r="C32" s="24" t="s">
        <v>154</v>
      </c>
      <c r="D32" s="25"/>
      <c r="E32" s="25"/>
      <c r="F32" s="26"/>
      <c r="G32" s="118">
        <f>1/(1+0.1)^0</f>
        <v>1</v>
      </c>
      <c r="H32" s="118">
        <f>1/(1+0.1)^1</f>
        <v>0.90909090909090906</v>
      </c>
      <c r="I32" s="118">
        <f>1/(1+0.1)^2</f>
        <v>0.82644628099173545</v>
      </c>
      <c r="J32" s="118">
        <f>1/(1+0.1)^3</f>
        <v>0.75131480090157754</v>
      </c>
      <c r="K32" s="118">
        <f>1/(1+0.1)^4</f>
        <v>0.68301345536507052</v>
      </c>
      <c r="L32" s="118">
        <f>1/(1+0.1)^5</f>
        <v>0.62092132305915493</v>
      </c>
    </row>
    <row r="33" spans="2:12" x14ac:dyDescent="0.25">
      <c r="B33" s="57"/>
      <c r="C33" s="24" t="s">
        <v>155</v>
      </c>
      <c r="D33" s="25"/>
      <c r="E33" s="25"/>
      <c r="F33" s="26"/>
      <c r="G33" s="73">
        <f>+G32*G31</f>
        <v>-29992500000</v>
      </c>
      <c r="H33" s="73">
        <f t="shared" ref="H33:L33" si="6">+H32*H31</f>
        <v>23316045454.545452</v>
      </c>
      <c r="I33" s="73">
        <f t="shared" si="6"/>
        <v>21196404958.677685</v>
      </c>
      <c r="J33" s="73">
        <f t="shared" si="6"/>
        <v>19269459053.343346</v>
      </c>
      <c r="K33" s="73">
        <f t="shared" si="6"/>
        <v>17517690048.49395</v>
      </c>
      <c r="L33" s="73">
        <f t="shared" si="6"/>
        <v>15925172771.358135</v>
      </c>
    </row>
    <row r="34" spans="2:12" x14ac:dyDescent="0.25">
      <c r="B34" s="124" t="s">
        <v>32</v>
      </c>
      <c r="C34" s="51" t="s">
        <v>156</v>
      </c>
      <c r="D34" s="52"/>
      <c r="E34" s="52"/>
      <c r="F34" s="26"/>
      <c r="G34" s="106">
        <f>+G33</f>
        <v>-29992500000</v>
      </c>
      <c r="H34" s="73">
        <f>+G34+H33</f>
        <v>-6676454545.4545479</v>
      </c>
      <c r="I34" s="73">
        <f>+H34+I33</f>
        <v>14519950413.223137</v>
      </c>
      <c r="J34" s="73">
        <f t="shared" ref="J34:L34" si="7">+I34+J33</f>
        <v>33789409466.566483</v>
      </c>
      <c r="K34" s="73">
        <f t="shared" si="7"/>
        <v>51307099515.060432</v>
      </c>
      <c r="L34" s="73">
        <f t="shared" si="7"/>
        <v>67232272286.418564</v>
      </c>
    </row>
    <row r="35" spans="2:12" x14ac:dyDescent="0.25">
      <c r="B35" s="127"/>
      <c r="C35" s="61"/>
      <c r="D35" s="61"/>
      <c r="E35" s="61"/>
      <c r="F35" s="17"/>
      <c r="G35" s="126"/>
      <c r="H35" s="109"/>
      <c r="I35" s="109"/>
      <c r="J35" s="109"/>
      <c r="K35" s="109"/>
      <c r="L35" s="109"/>
    </row>
    <row r="36" spans="2:12" x14ac:dyDescent="0.25">
      <c r="B36" s="128" t="s">
        <v>205</v>
      </c>
      <c r="C36" s="46"/>
      <c r="D36" s="46"/>
      <c r="E36" s="46"/>
      <c r="F36" s="34"/>
      <c r="G36" s="125"/>
      <c r="H36" s="109"/>
      <c r="I36" s="109"/>
      <c r="J36" s="109"/>
      <c r="K36" s="109"/>
      <c r="L36" s="109"/>
    </row>
    <row r="37" spans="2:12" x14ac:dyDescent="0.25">
      <c r="B37" s="55" t="s">
        <v>41</v>
      </c>
      <c r="C37" s="19" t="s">
        <v>157</v>
      </c>
      <c r="D37" s="19"/>
      <c r="E37" s="25"/>
      <c r="F37" s="20"/>
      <c r="G37" s="73">
        <f>+L34</f>
        <v>67232272286.418564</v>
      </c>
      <c r="H37" s="19"/>
      <c r="I37" s="19"/>
      <c r="J37" s="19"/>
      <c r="K37" s="19"/>
      <c r="L37" s="19"/>
    </row>
    <row r="38" spans="2:12" x14ac:dyDescent="0.25">
      <c r="B38" s="11" t="s">
        <v>45</v>
      </c>
      <c r="C38" s="63" t="s">
        <v>158</v>
      </c>
      <c r="D38" s="25"/>
      <c r="E38" s="25"/>
      <c r="F38" s="26"/>
      <c r="G38" s="119">
        <f>IRR(G31:L31,0.1)</f>
        <v>0.81127041981825609</v>
      </c>
      <c r="H38" s="19"/>
      <c r="I38" s="19"/>
      <c r="J38" s="19"/>
      <c r="K38" s="19"/>
      <c r="L38" s="19"/>
    </row>
    <row r="39" spans="2:12" x14ac:dyDescent="0.25">
      <c r="B39" s="23" t="s">
        <v>46</v>
      </c>
      <c r="C39" s="19" t="s">
        <v>159</v>
      </c>
      <c r="D39" s="19"/>
      <c r="E39" s="25"/>
      <c r="F39" s="20"/>
      <c r="G39" s="118">
        <f>SUM(G17:L17)/SUM(G27:L27)</f>
        <v>1.295583344353298</v>
      </c>
      <c r="H39" s="19"/>
      <c r="I39" s="19"/>
      <c r="J39" s="19"/>
      <c r="K39" s="19"/>
      <c r="L39" s="19"/>
    </row>
    <row r="40" spans="2:12" x14ac:dyDescent="0.25">
      <c r="B40" s="11" t="s">
        <v>87</v>
      </c>
      <c r="C40" s="25" t="s">
        <v>229</v>
      </c>
      <c r="D40" s="25"/>
      <c r="E40" s="25"/>
      <c r="F40" s="26"/>
      <c r="G40" s="74" t="s">
        <v>230</v>
      </c>
      <c r="H40" s="19"/>
      <c r="I40" s="19"/>
      <c r="J40" s="19"/>
      <c r="K40" s="19"/>
      <c r="L40" s="19"/>
    </row>
    <row r="41" spans="2:12" x14ac:dyDescent="0.25">
      <c r="C41" s="56" t="s">
        <v>13</v>
      </c>
    </row>
  </sheetData>
  <mergeCells count="1"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2021-11-12T13:39:16Z</dcterms:modified>
</cp:coreProperties>
</file>